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8460" windowHeight="6120" tabRatio="724" activeTab="0"/>
  </bookViews>
  <sheets>
    <sheet name="Part-I" sheetId="1" r:id="rId1"/>
    <sheet name="Part-II " sheetId="2" r:id="rId2"/>
    <sheet name="Part-III" sheetId="3" r:id="rId3"/>
    <sheet name="Part-IV" sheetId="4" r:id="rId4"/>
  </sheets>
  <definedNames>
    <definedName name="_xlnm.Print_Area" localSheetId="0">'Part-I'!$A$1:$T$27</definedName>
    <definedName name="_xlnm.Print_Area" localSheetId="1">'Part-II '!$A$1:$N$28</definedName>
    <definedName name="_xlnm.Print_Area" localSheetId="2">'Part-III'!$A$1:$Q$36</definedName>
    <definedName name="_xlnm.Print_Area" localSheetId="3">'Part-IV'!$A$1:$BJ$30</definedName>
    <definedName name="_xlnm.Print_Titles" localSheetId="0">'Part-I'!$7:$7</definedName>
    <definedName name="_xlnm.Print_Titles" localSheetId="1">'Part-II '!$7:$7</definedName>
    <definedName name="_xlnm.Print_Titles" localSheetId="2">'Part-III'!$9:$9</definedName>
    <definedName name="_xlnm.Print_Titles" localSheetId="3">'Part-IV'!$10:$10</definedName>
  </definedNames>
  <calcPr fullCalcOnLoad="1"/>
</workbook>
</file>

<file path=xl/comments3.xml><?xml version="1.0" encoding="utf-8"?>
<comments xmlns="http://schemas.openxmlformats.org/spreadsheetml/2006/main">
  <authors>
    <author>NREGS-1</author>
  </authors>
  <commentList>
    <comment ref="P27" authorId="0">
      <text>
        <r>
          <rPr>
            <b/>
            <sz val="8"/>
            <rFont val="Tahoma"/>
            <family val="0"/>
          </rPr>
          <t>NREGS-1: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AS ON 29-02-08</t>
        </r>
      </text>
    </comment>
    <comment ref="M26" authorId="0">
      <text>
        <r>
          <rPr>
            <b/>
            <sz val="8"/>
            <rFont val="Tahoma"/>
            <family val="0"/>
          </rPr>
          <t>NREGS-1: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up to 31-01-08
</t>
        </r>
      </text>
    </comment>
  </commentList>
</comments>
</file>

<file path=xl/sharedStrings.xml><?xml version="1.0" encoding="utf-8"?>
<sst xmlns="http://schemas.openxmlformats.org/spreadsheetml/2006/main" count="257" uniqueCount="92">
  <si>
    <t>Maynaguri</t>
  </si>
  <si>
    <t>Kumargram</t>
  </si>
  <si>
    <t>Name of the Block</t>
  </si>
  <si>
    <t>Sadar</t>
  </si>
  <si>
    <t>Rajganj</t>
  </si>
  <si>
    <t>Dhupguri</t>
  </si>
  <si>
    <t>Mal</t>
  </si>
  <si>
    <t>Matiali</t>
  </si>
  <si>
    <t>Nagrakata</t>
  </si>
  <si>
    <t>Falakata</t>
  </si>
  <si>
    <t>Madarihat-Birpara</t>
  </si>
  <si>
    <t>Kalchini</t>
  </si>
  <si>
    <t>Alipurduar-I</t>
  </si>
  <si>
    <t>Alipurduar-II</t>
  </si>
  <si>
    <t>Total</t>
  </si>
  <si>
    <t>No. of Household</t>
  </si>
  <si>
    <t>Jalpaiguri District</t>
  </si>
  <si>
    <t>Sl. No.</t>
  </si>
  <si>
    <t>National Rural Employment Gurantee Act (NREGA)</t>
  </si>
  <si>
    <t>MONTHLY PROGRESS REPORT</t>
  </si>
  <si>
    <t>Other</t>
  </si>
  <si>
    <t>Central</t>
  </si>
  <si>
    <t>State</t>
  </si>
  <si>
    <t>Misc. Receipt</t>
  </si>
  <si>
    <t xml:space="preserve">Cummulative Expenditure </t>
  </si>
  <si>
    <t>On unskilled wage</t>
  </si>
  <si>
    <t>On semi-skilled and skilled wage</t>
  </si>
  <si>
    <t>On Contingency</t>
  </si>
  <si>
    <t>Rural Connectivity</t>
  </si>
  <si>
    <t>Others</t>
  </si>
  <si>
    <t>(Rs. in lakh)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</si>
  <si>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</si>
  <si>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r>
      <t xml:space="preserve">Total             </t>
    </r>
    <r>
      <rPr>
        <b/>
        <i/>
        <sz val="8"/>
        <rFont val="CG Omega"/>
        <family val="2"/>
      </rPr>
      <t xml:space="preserve">  (9+10+11+12)</t>
    </r>
  </si>
  <si>
    <t>Employment Generated ( In lakh Mandays) Cummulative for the year</t>
  </si>
  <si>
    <t>On material</t>
  </si>
  <si>
    <t>Released last year but received during the current year</t>
  </si>
  <si>
    <t>Line Deptt.</t>
  </si>
  <si>
    <t>Zilla Parishad</t>
  </si>
  <si>
    <t>G.T.</t>
  </si>
  <si>
    <t>Release During the Current Year by the Govt. to Z.P.</t>
  </si>
  <si>
    <t>Release During the Current Year to P.S./ Line Deptt.</t>
  </si>
  <si>
    <t>National Rural Employment Gurantee Act (N.R.E.G.A.)</t>
  </si>
  <si>
    <t>SCs</t>
  </si>
  <si>
    <t>STs</t>
  </si>
  <si>
    <t>Households</t>
  </si>
  <si>
    <t>Persondays</t>
  </si>
  <si>
    <t xml:space="preserve">Total                       </t>
  </si>
  <si>
    <t>No. of Days Worked by Women in Col. 10</t>
  </si>
  <si>
    <t>Disabled beneficiaries out of col. 9</t>
  </si>
  <si>
    <t>Unit</t>
  </si>
  <si>
    <t>Completed works</t>
  </si>
  <si>
    <t xml:space="preserve">Water Conservation and water harvesting </t>
  </si>
  <si>
    <t>Ongoing Works</t>
  </si>
  <si>
    <t>Draught Proofing</t>
  </si>
  <si>
    <t>No.</t>
  </si>
  <si>
    <t>Micro Irrigation Works</t>
  </si>
  <si>
    <t>Kms.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</si>
  <si>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</si>
  <si>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</si>
  <si>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</si>
  <si>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</si>
  <si>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Any other activity (approved by MRD)</t>
  </si>
  <si>
    <t>No. of households issued job cards (till the reporting month)</t>
  </si>
  <si>
    <t>Households demanded up to previous month</t>
  </si>
  <si>
    <t>Addl. Household demand during month</t>
  </si>
  <si>
    <t>No. of Household who have demanded wage employment</t>
  </si>
  <si>
    <t>Households provided up to previous month</t>
  </si>
  <si>
    <t>Addl. Household provided during month</t>
  </si>
  <si>
    <t>No. of Household who have provided wage employment (out of col. 3)</t>
  </si>
  <si>
    <t>Out of total of column 4, no. of individual applicants provided employment during the month</t>
  </si>
  <si>
    <t>No. of women provided employment out of col. 5</t>
  </si>
  <si>
    <t>cummulative number of households which have completed 100 days of employment</t>
  </si>
  <si>
    <t>Households (3+5+7)</t>
  </si>
  <si>
    <t>Persondays (4+6+8)</t>
  </si>
  <si>
    <t>Cu. Mt.</t>
  </si>
  <si>
    <t>Hec.</t>
  </si>
  <si>
    <t>Expenditure (lac)</t>
  </si>
  <si>
    <t xml:space="preserve">Monitoring Format for Monthly Report Under </t>
  </si>
  <si>
    <t>Actual O.B. as on 01.04.07</t>
  </si>
  <si>
    <t>No. of land reform / IAY beneficiary out of col. 9</t>
  </si>
  <si>
    <t>this column should be = to col. no. 4 of Part-I</t>
  </si>
  <si>
    <t>No. of Application Registerd</t>
  </si>
  <si>
    <t>1(A)</t>
  </si>
  <si>
    <t>Differece</t>
  </si>
  <si>
    <t>Job Card Issued up to 15-09-2007</t>
  </si>
  <si>
    <t xml:space="preserve">nos. of job card reduced from prev. month. </t>
  </si>
  <si>
    <r>
      <t>Total (</t>
    </r>
    <r>
      <rPr>
        <b/>
        <i/>
        <sz val="9"/>
        <rFont val="Trebuchet MS"/>
        <family val="2"/>
      </rPr>
      <t>Unit in nos. &amp; Exp. be reported in this row)</t>
    </r>
  </si>
  <si>
    <t>No. of Application Registered as on 15-12-07</t>
  </si>
  <si>
    <t>AS on 15-01-08</t>
  </si>
  <si>
    <t>Employment Generation Under NREGA During the year 2007-08 Up to the Month of February' 08</t>
  </si>
  <si>
    <t>Financial Performance Under NREGA During the year 2007-08 Up to the Month of February' 08</t>
  </si>
  <si>
    <t>Physical Performance Under NREGA During the year 2007-08 Up to the Month of February' 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</si>
</sst>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#,##0.00000"/>
    <numFmt numFmtId="179" formatCode="0.00000000000"/>
    <numFmt numFmtId="180" formatCode="0.000000000000"/>
    <numFmt numFmtId="181" formatCode="0.000%"/>
    <numFmt numFmtId="182" formatCode="0.0000%"/>
    <numFmt numFmtId="183" formatCode="0.00000%"/>
  </numFmts>
  <fonts count="72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b/>
      <sz val="14"/>
      <name val="Copperplate Gothic Light"/>
      <family val="2"/>
    </font>
    <font>
      <b/>
      <sz val="12"/>
      <name val="CG Omega"/>
      <family val="2"/>
    </font>
    <font>
      <b/>
      <sz val="10"/>
      <name val="CG Omega"/>
      <family val="2"/>
    </font>
    <font>
      <sz val="12"/>
      <name val="CG Omega"/>
      <family val="2"/>
    </font>
    <font>
      <sz val="10"/>
      <name val="CG Omega"/>
      <family val="2"/>
    </font>
    <font>
      <b/>
      <sz val="9"/>
      <name val="CG Omega"/>
      <family val="2"/>
    </font>
    <font>
      <b/>
      <sz val="11"/>
      <name val="CG Omega"/>
      <family val="2"/>
    </font>
    <font>
      <b/>
      <i/>
      <u val="single"/>
      <sz val="10"/>
      <name val="CG Omega"/>
      <family val="2"/>
    </font>
    <font>
      <b/>
      <sz val="11"/>
      <name val="Book Antiqua"/>
      <family val="1"/>
    </font>
    <font>
      <b/>
      <sz val="8"/>
      <name val="CG Omega"/>
      <family val="2"/>
    </font>
    <font>
      <b/>
      <i/>
      <sz val="11"/>
      <name val="CG Omega"/>
      <family val="2"/>
    </font>
    <font>
      <b/>
      <i/>
      <sz val="8"/>
      <name val="CG Omega"/>
      <family val="2"/>
    </font>
    <font>
      <sz val="12"/>
      <name val="Blippo Blk BT"/>
      <family val="5"/>
    </font>
    <font>
      <b/>
      <sz val="20"/>
      <name val="Copperplate Gothic Light"/>
      <family val="2"/>
    </font>
    <font>
      <b/>
      <sz val="14"/>
      <name val="CG Omega"/>
      <family val="2"/>
    </font>
    <font>
      <b/>
      <i/>
      <sz val="14"/>
      <name val="Book Antiqua"/>
      <family val="1"/>
    </font>
    <font>
      <b/>
      <i/>
      <sz val="12"/>
      <name val="Book Antiqua"/>
      <family val="1"/>
    </font>
    <font>
      <sz val="9"/>
      <name val="CG Omega"/>
      <family val="2"/>
    </font>
    <font>
      <sz val="8"/>
      <name val="CG Omega"/>
      <family val="2"/>
    </font>
    <font>
      <b/>
      <sz val="16"/>
      <name val="Copperplate Gothic Light"/>
      <family val="2"/>
    </font>
    <font>
      <b/>
      <sz val="10"/>
      <name val="Balloon XBd BT"/>
      <family val="4"/>
    </font>
    <font>
      <b/>
      <sz val="9"/>
      <name val="Balloon XBd BT"/>
      <family val="4"/>
    </font>
    <font>
      <sz val="16"/>
      <name val="Blippo Blk BT"/>
      <family val="5"/>
    </font>
    <font>
      <b/>
      <u val="single"/>
      <sz val="9"/>
      <name val="CG Omega"/>
      <family val="2"/>
    </font>
    <font>
      <b/>
      <u val="single"/>
      <sz val="10"/>
      <name val="CG Omega"/>
      <family val="2"/>
    </font>
    <font>
      <b/>
      <sz val="12"/>
      <name val="Copperplate Gothic Light"/>
      <family val="2"/>
    </font>
    <font>
      <b/>
      <i/>
      <sz val="16"/>
      <name val="Book Antiqua"/>
      <family val="1"/>
    </font>
    <font>
      <b/>
      <u val="single"/>
      <sz val="14"/>
      <name val="Book Antiqua"/>
      <family val="1"/>
    </font>
    <font>
      <i/>
      <sz val="10"/>
      <name val="CG Omega"/>
      <family val="2"/>
    </font>
    <font>
      <b/>
      <sz val="18"/>
      <name val="CommercialScript BT"/>
      <family val="4"/>
    </font>
    <font>
      <b/>
      <i/>
      <sz val="10"/>
      <name val="CG Omeg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6"/>
      <name val="Cooper BlkItHd BT"/>
      <family val="1"/>
    </font>
    <font>
      <b/>
      <i/>
      <u val="single"/>
      <sz val="14"/>
      <name val="Book Antiqua"/>
      <family val="1"/>
    </font>
    <font>
      <sz val="12"/>
      <name val="Symbol"/>
      <family val="1"/>
    </font>
    <font>
      <sz val="12"/>
      <name val="Bookman Old Style"/>
      <family val="1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10"/>
      <name val="Palatino Linotype"/>
      <family val="1"/>
    </font>
    <font>
      <sz val="10"/>
      <color indexed="12"/>
      <name val="Palatino Linotype"/>
      <family val="1"/>
    </font>
    <font>
      <sz val="11"/>
      <name val="Book Antiqua"/>
      <family val="1"/>
    </font>
    <font>
      <b/>
      <sz val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Tahoma"/>
      <family val="2"/>
    </font>
    <font>
      <sz val="12"/>
      <name val="Trebuchet MS"/>
      <family val="2"/>
    </font>
    <font>
      <b/>
      <sz val="11"/>
      <color indexed="12"/>
      <name val="Palatino Linotype"/>
      <family val="1"/>
    </font>
    <font>
      <b/>
      <sz val="10"/>
      <color indexed="12"/>
      <name val="Palatino Linotype"/>
      <family val="1"/>
    </font>
    <font>
      <sz val="10"/>
      <color indexed="12"/>
      <name val="Book Antiqua"/>
      <family val="1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b/>
      <sz val="12"/>
      <color indexed="12"/>
      <name val="Trebuchet MS"/>
      <family val="2"/>
    </font>
    <font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0"/>
      <color indexed="12"/>
      <name val="Book Antiqua"/>
      <family val="1"/>
    </font>
    <font>
      <b/>
      <sz val="12"/>
      <color indexed="12"/>
      <name val="Book Antiqua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67" fontId="11" fillId="0" borderId="1" xfId="0" applyNumberFormat="1" applyFont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167" fontId="1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7" fontId="5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/>
    </xf>
    <xf numFmtId="167" fontId="8" fillId="0" borderId="1" xfId="0" applyNumberFormat="1" applyFont="1" applyBorder="1" applyAlignment="1">
      <alignment horizontal="right"/>
    </xf>
    <xf numFmtId="1" fontId="1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30" fillId="0" borderId="1" xfId="0" applyFont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67" fontId="24" fillId="0" borderId="0" xfId="0" applyNumberFormat="1" applyFont="1" applyAlignment="1">
      <alignment/>
    </xf>
    <xf numFmtId="10" fontId="35" fillId="0" borderId="0" xfId="21" applyNumberFormat="1" applyFont="1" applyAlignment="1">
      <alignment/>
    </xf>
    <xf numFmtId="0" fontId="35" fillId="0" borderId="0" xfId="0" applyFont="1" applyAlignment="1">
      <alignment/>
    </xf>
    <xf numFmtId="167" fontId="35" fillId="0" borderId="0" xfId="0" applyNumberFormat="1" applyFont="1" applyAlignment="1">
      <alignment/>
    </xf>
    <xf numFmtId="9" fontId="35" fillId="0" borderId="0" xfId="21" applyFont="1" applyAlignment="1">
      <alignment/>
    </xf>
    <xf numFmtId="0" fontId="5" fillId="0" borderId="0" xfId="0" applyFont="1" applyFill="1" applyAlignment="1">
      <alignment horizontal="center"/>
    </xf>
    <xf numFmtId="0" fontId="36" fillId="0" borderId="0" xfId="0" applyFont="1" applyAlignment="1">
      <alignment/>
    </xf>
    <xf numFmtId="167" fontId="8" fillId="0" borderId="4" xfId="0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35" fillId="0" borderId="0" xfId="21" applyNumberFormat="1" applyFont="1" applyAlignment="1">
      <alignment/>
    </xf>
    <xf numFmtId="10" fontId="35" fillId="0" borderId="0" xfId="21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 wrapText="1"/>
    </xf>
    <xf numFmtId="0" fontId="24" fillId="0" borderId="0" xfId="0" applyFont="1" applyFill="1" applyAlignment="1">
      <alignment horizontal="center" vertical="center" wrapText="1"/>
    </xf>
    <xf numFmtId="10" fontId="37" fillId="2" borderId="0" xfId="21" applyNumberFormat="1" applyFont="1" applyFill="1" applyAlignment="1">
      <alignment/>
    </xf>
    <xf numFmtId="0" fontId="2" fillId="2" borderId="0" xfId="0" applyFont="1" applyFill="1" applyAlignment="1">
      <alignment/>
    </xf>
    <xf numFmtId="10" fontId="35" fillId="2" borderId="0" xfId="21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  <xf numFmtId="167" fontId="8" fillId="3" borderId="1" xfId="0" applyNumberFormat="1" applyFont="1" applyFill="1" applyBorder="1" applyAlignment="1">
      <alignment horizontal="right" wrapText="1"/>
    </xf>
    <xf numFmtId="166" fontId="8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/>
    </xf>
    <xf numFmtId="167" fontId="11" fillId="0" borderId="1" xfId="0" applyNumberFormat="1" applyFont="1" applyBorder="1" applyAlignment="1">
      <alignment horizontal="right" wrapText="1"/>
    </xf>
    <xf numFmtId="0" fontId="23" fillId="0" borderId="0" xfId="0" applyFont="1" applyAlignment="1">
      <alignment horizontal="center"/>
    </xf>
    <xf numFmtId="0" fontId="41" fillId="0" borderId="0" xfId="0" applyFont="1" applyAlignment="1">
      <alignment/>
    </xf>
    <xf numFmtId="0" fontId="8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right" wrapText="1"/>
    </xf>
    <xf numFmtId="2" fontId="9" fillId="4" borderId="1" xfId="0" applyNumberFormat="1" applyFont="1" applyFill="1" applyBorder="1" applyAlignment="1">
      <alignment horizontal="right" wrapText="1"/>
    </xf>
    <xf numFmtId="167" fontId="13" fillId="4" borderId="1" xfId="0" applyNumberFormat="1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right" wrapText="1"/>
    </xf>
    <xf numFmtId="165" fontId="8" fillId="3" borderId="1" xfId="0" applyNumberFormat="1" applyFont="1" applyFill="1" applyBorder="1" applyAlignment="1">
      <alignment/>
    </xf>
    <xf numFmtId="0" fontId="42" fillId="0" borderId="0" xfId="0" applyFont="1" applyAlignment="1">
      <alignment horizontal="left" indent="8"/>
    </xf>
    <xf numFmtId="0" fontId="43" fillId="0" borderId="0" xfId="0" applyFont="1" applyAlignment="1">
      <alignment horizontal="left" indent="8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2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0" fontId="11" fillId="0" borderId="0" xfId="21" applyNumberFormat="1" applyFont="1" applyFill="1" applyAlignment="1">
      <alignment/>
    </xf>
    <xf numFmtId="0" fontId="3" fillId="0" borderId="0" xfId="0" applyFont="1" applyAlignment="1">
      <alignment vertical="center"/>
    </xf>
    <xf numFmtId="0" fontId="1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83" fontId="11" fillId="0" borderId="0" xfId="21" applyNumberFormat="1" applyFont="1" applyAlignment="1">
      <alignment/>
    </xf>
    <xf numFmtId="1" fontId="13" fillId="0" borderId="3" xfId="0" applyNumberFormat="1" applyFont="1" applyBorder="1" applyAlignment="1">
      <alignment horizontal="right" wrapText="1"/>
    </xf>
    <xf numFmtId="167" fontId="13" fillId="0" borderId="3" xfId="0" applyNumberFormat="1" applyFont="1" applyBorder="1" applyAlignment="1">
      <alignment horizontal="right" wrapText="1"/>
    </xf>
    <xf numFmtId="166" fontId="13" fillId="0" borderId="3" xfId="0" applyNumberFormat="1" applyFont="1" applyBorder="1" applyAlignment="1">
      <alignment horizontal="right" wrapText="1"/>
    </xf>
    <xf numFmtId="1" fontId="13" fillId="0" borderId="1" xfId="0" applyNumberFormat="1" applyFont="1" applyBorder="1" applyAlignment="1">
      <alignment horizontal="right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27" fillId="0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1" fontId="47" fillId="0" borderId="1" xfId="0" applyNumberFormat="1" applyFont="1" applyBorder="1" applyAlignment="1">
      <alignment horizontal="center" vertical="center" wrapText="1"/>
    </xf>
    <xf numFmtId="1" fontId="47" fillId="0" borderId="1" xfId="0" applyNumberFormat="1" applyFont="1" applyBorder="1" applyAlignment="1">
      <alignment horizontal="right" vertical="center" wrapText="1"/>
    </xf>
    <xf numFmtId="0" fontId="48" fillId="6" borderId="1" xfId="0" applyFont="1" applyFill="1" applyBorder="1" applyAlignment="1">
      <alignment vertical="center"/>
    </xf>
    <xf numFmtId="1" fontId="47" fillId="6" borderId="1" xfId="0" applyNumberFormat="1" applyFont="1" applyFill="1" applyBorder="1" applyAlignment="1">
      <alignment horizontal="right" vertical="center" wrapText="1"/>
    </xf>
    <xf numFmtId="1" fontId="47" fillId="6" borderId="1" xfId="0" applyNumberFormat="1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/>
    </xf>
    <xf numFmtId="0" fontId="35" fillId="0" borderId="0" xfId="0" applyFont="1" applyAlignment="1">
      <alignment/>
    </xf>
    <xf numFmtId="0" fontId="54" fillId="0" borderId="1" xfId="0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6" fillId="0" borderId="1" xfId="0" applyFont="1" applyFill="1" applyBorder="1" applyAlignment="1">
      <alignment/>
    </xf>
    <xf numFmtId="0" fontId="56" fillId="0" borderId="2" xfId="0" applyFont="1" applyFill="1" applyBorder="1" applyAlignment="1">
      <alignment horizontal="center" wrapText="1"/>
    </xf>
    <xf numFmtId="0" fontId="56" fillId="0" borderId="1" xfId="0" applyFont="1" applyBorder="1" applyAlignment="1">
      <alignment/>
    </xf>
    <xf numFmtId="1" fontId="56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7" fontId="9" fillId="3" borderId="1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167" fontId="8" fillId="3" borderId="1" xfId="0" applyNumberFormat="1" applyFont="1" applyFill="1" applyBorder="1" applyAlignment="1">
      <alignment/>
    </xf>
    <xf numFmtId="1" fontId="13" fillId="0" borderId="1" xfId="0" applyNumberFormat="1" applyFont="1" applyBorder="1" applyAlignment="1">
      <alignment horizontal="center" wrapText="1"/>
    </xf>
    <xf numFmtId="9" fontId="11" fillId="0" borderId="0" xfId="21" applyFont="1" applyAlignment="1">
      <alignment/>
    </xf>
    <xf numFmtId="164" fontId="56" fillId="0" borderId="1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left" vertical="center"/>
    </xf>
    <xf numFmtId="0" fontId="61" fillId="6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right" wrapText="1"/>
    </xf>
    <xf numFmtId="0" fontId="48" fillId="6" borderId="1" xfId="0" applyFont="1" applyFill="1" applyBorder="1" applyAlignment="1">
      <alignment/>
    </xf>
    <xf numFmtId="0" fontId="62" fillId="6" borderId="1" xfId="0" applyFont="1" applyFill="1" applyBorder="1" applyAlignment="1">
      <alignment/>
    </xf>
    <xf numFmtId="0" fontId="48" fillId="4" borderId="1" xfId="0" applyFont="1" applyFill="1" applyBorder="1" applyAlignment="1">
      <alignment horizontal="right" wrapText="1"/>
    </xf>
    <xf numFmtId="1" fontId="48" fillId="0" borderId="1" xfId="0" applyNumberFormat="1" applyFont="1" applyFill="1" applyBorder="1" applyAlignment="1">
      <alignment horizontal="right" wrapText="1"/>
    </xf>
    <xf numFmtId="0" fontId="48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left" vertical="center"/>
    </xf>
    <xf numFmtId="1" fontId="65" fillId="0" borderId="1" xfId="0" applyNumberFormat="1" applyFont="1" applyBorder="1" applyAlignment="1">
      <alignment horizontal="right" wrapText="1"/>
    </xf>
    <xf numFmtId="167" fontId="65" fillId="0" borderId="1" xfId="0" applyNumberFormat="1" applyFont="1" applyBorder="1" applyAlignment="1">
      <alignment horizontal="right" wrapText="1"/>
    </xf>
    <xf numFmtId="1" fontId="65" fillId="2" borderId="1" xfId="0" applyNumberFormat="1" applyFont="1" applyFill="1" applyBorder="1" applyAlignment="1">
      <alignment horizontal="right" wrapText="1"/>
    </xf>
    <xf numFmtId="1" fontId="64" fillId="0" borderId="1" xfId="0" applyNumberFormat="1" applyFont="1" applyBorder="1" applyAlignment="1">
      <alignment horizontal="center" wrapText="1"/>
    </xf>
    <xf numFmtId="1" fontId="65" fillId="0" borderId="1" xfId="0" applyNumberFormat="1" applyFont="1" applyBorder="1" applyAlignment="1">
      <alignment/>
    </xf>
    <xf numFmtId="0" fontId="63" fillId="0" borderId="0" xfId="0" applyFont="1" applyAlignment="1">
      <alignment/>
    </xf>
    <xf numFmtId="0" fontId="63" fillId="3" borderId="0" xfId="0" applyFont="1" applyFill="1" applyAlignment="1">
      <alignment/>
    </xf>
    <xf numFmtId="167" fontId="63" fillId="0" borderId="0" xfId="0" applyNumberFormat="1" applyFont="1" applyAlignment="1">
      <alignment/>
    </xf>
    <xf numFmtId="0" fontId="65" fillId="0" borderId="1" xfId="0" applyFont="1" applyBorder="1" applyAlignment="1">
      <alignment horizontal="right" wrapText="1"/>
    </xf>
    <xf numFmtId="0" fontId="65" fillId="5" borderId="1" xfId="0" applyFont="1" applyFill="1" applyBorder="1" applyAlignment="1">
      <alignment horizontal="right" wrapText="1"/>
    </xf>
    <xf numFmtId="2" fontId="65" fillId="5" borderId="1" xfId="0" applyNumberFormat="1" applyFont="1" applyFill="1" applyBorder="1" applyAlignment="1">
      <alignment horizontal="right" wrapText="1"/>
    </xf>
    <xf numFmtId="0" fontId="65" fillId="0" borderId="1" xfId="0" applyFont="1" applyBorder="1" applyAlignment="1">
      <alignment/>
    </xf>
    <xf numFmtId="167" fontId="65" fillId="0" borderId="4" xfId="0" applyNumberFormat="1" applyFont="1" applyBorder="1" applyAlignment="1">
      <alignment/>
    </xf>
    <xf numFmtId="167" fontId="65" fillId="0" borderId="4" xfId="0" applyNumberFormat="1" applyFont="1" applyBorder="1" applyAlignment="1">
      <alignment horizontal="right"/>
    </xf>
    <xf numFmtId="0" fontId="65" fillId="0" borderId="1" xfId="0" applyFont="1" applyBorder="1" applyAlignment="1">
      <alignment horizontal="right"/>
    </xf>
    <xf numFmtId="0" fontId="65" fillId="0" borderId="0" xfId="0" applyFont="1" applyAlignment="1">
      <alignment/>
    </xf>
    <xf numFmtId="167" fontId="65" fillId="0" borderId="0" xfId="0" applyNumberFormat="1" applyFont="1" applyAlignment="1">
      <alignment/>
    </xf>
    <xf numFmtId="0" fontId="66" fillId="0" borderId="1" xfId="0" applyFont="1" applyBorder="1" applyAlignment="1">
      <alignment horizontal="center" vertical="center"/>
    </xf>
    <xf numFmtId="0" fontId="66" fillId="0" borderId="2" xfId="0" applyFont="1" applyBorder="1" applyAlignment="1">
      <alignment horizontal="left" vertical="center"/>
    </xf>
    <xf numFmtId="0" fontId="67" fillId="0" borderId="1" xfId="0" applyFont="1" applyBorder="1" applyAlignment="1">
      <alignment/>
    </xf>
    <xf numFmtId="1" fontId="67" fillId="0" borderId="1" xfId="0" applyNumberFormat="1" applyFont="1" applyBorder="1" applyAlignment="1">
      <alignment/>
    </xf>
    <xf numFmtId="1" fontId="66" fillId="0" borderId="1" xfId="0" applyNumberFormat="1" applyFont="1" applyBorder="1" applyAlignment="1">
      <alignment/>
    </xf>
    <xf numFmtId="165" fontId="66" fillId="0" borderId="1" xfId="0" applyNumberFormat="1" applyFont="1" applyBorder="1" applyAlignment="1">
      <alignment/>
    </xf>
    <xf numFmtId="165" fontId="68" fillId="0" borderId="0" xfId="0" applyNumberFormat="1" applyFont="1" applyAlignment="1">
      <alignment/>
    </xf>
    <xf numFmtId="0" fontId="68" fillId="0" borderId="0" xfId="0" applyFont="1" applyAlignment="1">
      <alignment/>
    </xf>
    <xf numFmtId="0" fontId="48" fillId="0" borderId="1" xfId="0" applyFont="1" applyFill="1" applyBorder="1" applyAlignment="1">
      <alignment/>
    </xf>
    <xf numFmtId="1" fontId="48" fillId="0" borderId="1" xfId="0" applyNumberFormat="1" applyFont="1" applyFill="1" applyBorder="1" applyAlignment="1">
      <alignment horizontal="right"/>
    </xf>
    <xf numFmtId="0" fontId="64" fillId="0" borderId="1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left" vertical="center"/>
    </xf>
    <xf numFmtId="1" fontId="65" fillId="0" borderId="1" xfId="0" applyNumberFormat="1" applyFont="1" applyFill="1" applyBorder="1" applyAlignment="1">
      <alignment horizontal="right" wrapText="1"/>
    </xf>
    <xf numFmtId="167" fontId="65" fillId="0" borderId="1" xfId="0" applyNumberFormat="1" applyFont="1" applyFill="1" applyBorder="1" applyAlignment="1">
      <alignment horizontal="right" wrapText="1"/>
    </xf>
    <xf numFmtId="1" fontId="65" fillId="0" borderId="1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65" fillId="0" borderId="1" xfId="0" applyFont="1" applyFill="1" applyBorder="1" applyAlignment="1">
      <alignment horizontal="right" wrapText="1"/>
    </xf>
    <xf numFmtId="0" fontId="48" fillId="0" borderId="1" xfId="0" applyFont="1" applyFill="1" applyBorder="1" applyAlignment="1">
      <alignment horizontal="right"/>
    </xf>
    <xf numFmtId="167" fontId="65" fillId="0" borderId="1" xfId="0" applyNumberFormat="1" applyFont="1" applyBorder="1" applyAlignment="1">
      <alignment horizontal="right"/>
    </xf>
    <xf numFmtId="2" fontId="66" fillId="0" borderId="1" xfId="0" applyNumberFormat="1" applyFont="1" applyBorder="1" applyAlignment="1">
      <alignment/>
    </xf>
    <xf numFmtId="0" fontId="64" fillId="0" borderId="6" xfId="0" applyFont="1" applyBorder="1" applyAlignment="1">
      <alignment horizontal="left" vertical="center"/>
    </xf>
    <xf numFmtId="1" fontId="65" fillId="0" borderId="1" xfId="0" applyNumberFormat="1" applyFont="1" applyBorder="1" applyAlignment="1">
      <alignment horizontal="right"/>
    </xf>
    <xf numFmtId="1" fontId="48" fillId="0" borderId="1" xfId="0" applyNumberFormat="1" applyFont="1" applyFill="1" applyBorder="1" applyAlignment="1">
      <alignment/>
    </xf>
    <xf numFmtId="0" fontId="69" fillId="3" borderId="0" xfId="0" applyFont="1" applyFill="1" applyAlignment="1">
      <alignment/>
    </xf>
    <xf numFmtId="0" fontId="67" fillId="0" borderId="1" xfId="0" applyFont="1" applyFill="1" applyBorder="1" applyAlignment="1">
      <alignment/>
    </xf>
    <xf numFmtId="165" fontId="67" fillId="0" borderId="1" xfId="0" applyNumberFormat="1" applyFont="1" applyBorder="1" applyAlignment="1">
      <alignment/>
    </xf>
    <xf numFmtId="164" fontId="67" fillId="0" borderId="1" xfId="0" applyNumberFormat="1" applyFont="1" applyBorder="1" applyAlignment="1">
      <alignment/>
    </xf>
    <xf numFmtId="0" fontId="66" fillId="0" borderId="1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left" vertical="center"/>
    </xf>
    <xf numFmtId="1" fontId="67" fillId="0" borderId="1" xfId="0" applyNumberFormat="1" applyFont="1" applyFill="1" applyBorder="1" applyAlignment="1">
      <alignment/>
    </xf>
    <xf numFmtId="0" fontId="66" fillId="0" borderId="1" xfId="0" applyFont="1" applyFill="1" applyBorder="1" applyAlignment="1">
      <alignment/>
    </xf>
    <xf numFmtId="1" fontId="66" fillId="0" borderId="1" xfId="0" applyNumberFormat="1" applyFont="1" applyFill="1" applyBorder="1" applyAlignment="1">
      <alignment/>
    </xf>
    <xf numFmtId="165" fontId="66" fillId="0" borderId="1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167" fontId="65" fillId="0" borderId="1" xfId="0" applyNumberFormat="1" applyFont="1" applyFill="1" applyBorder="1" applyAlignment="1">
      <alignment/>
    </xf>
    <xf numFmtId="0" fontId="67" fillId="0" borderId="1" xfId="0" applyFont="1" applyBorder="1" applyAlignment="1">
      <alignment vertical="top" wrapText="1"/>
    </xf>
    <xf numFmtId="0" fontId="67" fillId="0" borderId="1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167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45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46" fillId="0" borderId="2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50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0" fillId="0" borderId="6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fill>
        <patternFill>
          <bgColor rgb="FFFFFF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85" zoomScaleNormal="85" workbookViewId="0" topLeftCell="A7">
      <selection activeCell="I24" sqref="I24"/>
    </sheetView>
  </sheetViews>
  <sheetFormatPr defaultColWidth="9.140625" defaultRowHeight="12.75"/>
  <cols>
    <col min="1" max="1" width="5.28125" style="3" customWidth="1"/>
    <col min="2" max="2" width="18.00390625" style="2" customWidth="1"/>
    <col min="3" max="3" width="12.140625" style="88" hidden="1" customWidth="1"/>
    <col min="4" max="4" width="10.00390625" style="2" customWidth="1"/>
    <col min="5" max="5" width="9.421875" style="2" hidden="1" customWidth="1"/>
    <col min="6" max="6" width="9.28125" style="1" customWidth="1"/>
    <col min="7" max="8" width="8.28125" style="1" customWidth="1"/>
    <col min="9" max="9" width="8.8515625" style="1" customWidth="1"/>
    <col min="10" max="10" width="12.140625" style="86" hidden="1" customWidth="1"/>
    <col min="11" max="11" width="9.57421875" style="86" hidden="1" customWidth="1"/>
    <col min="12" max="12" width="11.28125" style="1" customWidth="1"/>
    <col min="13" max="14" width="9.8515625" style="1" customWidth="1"/>
    <col min="15" max="15" width="10.421875" style="1" customWidth="1"/>
    <col min="16" max="16" width="9.57421875" style="1" customWidth="1"/>
    <col min="17" max="17" width="10.421875" style="1" customWidth="1"/>
    <col min="18" max="18" width="12.28125" style="1" customWidth="1"/>
    <col min="19" max="19" width="12.57421875" style="1" customWidth="1"/>
    <col min="20" max="20" width="10.57421875" style="1" customWidth="1"/>
    <col min="21" max="16384" width="9.140625" style="1" customWidth="1"/>
  </cols>
  <sheetData>
    <row r="1" spans="1:20" ht="29.25" customHeight="1">
      <c r="A1" s="209" t="s">
        <v>77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</row>
    <row r="2" spans="1:20" ht="25.5" customHeight="1">
      <c r="A2" s="209" t="s">
        <v>41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1:20" ht="13.5" customHeight="1">
      <c r="A3" s="7"/>
      <c r="B3" s="7"/>
      <c r="C3" s="52"/>
      <c r="D3" s="7"/>
      <c r="E3" s="7"/>
      <c r="F3" s="7"/>
      <c r="G3" s="7"/>
      <c r="H3" s="7"/>
      <c r="I3" s="7"/>
      <c r="J3" s="52"/>
      <c r="K3" s="52"/>
      <c r="L3" s="7"/>
      <c r="M3" s="7"/>
      <c r="N3" s="7"/>
      <c r="O3" s="7"/>
      <c r="P3" s="7"/>
      <c r="Q3" s="7"/>
      <c r="R3" s="7"/>
      <c r="S3" s="7"/>
      <c r="T3" s="7"/>
    </row>
    <row r="4" spans="1:20" ht="16.5" customHeight="1">
      <c r="A4" s="210" t="s">
        <v>89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</row>
    <row r="5" spans="1:20" ht="13.5" customHeight="1">
      <c r="A5" s="7"/>
      <c r="B5" s="7"/>
      <c r="C5" s="52"/>
      <c r="D5" s="7"/>
      <c r="E5" s="7"/>
      <c r="F5" s="7"/>
      <c r="G5" s="7"/>
      <c r="H5" s="7"/>
      <c r="I5" s="7"/>
      <c r="J5" s="52"/>
      <c r="K5" s="52"/>
      <c r="L5" s="7"/>
      <c r="M5" s="7"/>
      <c r="N5" s="7"/>
      <c r="O5" s="7"/>
      <c r="P5" s="7"/>
      <c r="Q5" s="7"/>
      <c r="R5" s="7"/>
      <c r="S5" s="7"/>
      <c r="T5" s="7"/>
    </row>
    <row r="6" spans="1:20" ht="15.75">
      <c r="A6" s="40" t="s">
        <v>16</v>
      </c>
      <c r="B6" s="9"/>
      <c r="C6" s="87"/>
      <c r="D6" s="9"/>
      <c r="E6" s="9"/>
      <c r="F6" s="10"/>
      <c r="G6" s="10"/>
      <c r="H6" s="10"/>
      <c r="I6" s="10"/>
      <c r="J6" s="89"/>
      <c r="K6" s="89"/>
      <c r="L6" s="10"/>
      <c r="M6" s="10"/>
      <c r="N6" s="10"/>
      <c r="O6" s="10"/>
      <c r="P6" s="10"/>
      <c r="Q6" s="10"/>
      <c r="R6" s="12"/>
      <c r="S6" s="12"/>
      <c r="T6" s="12"/>
    </row>
    <row r="7" spans="1:20" s="24" customFormat="1" ht="59.25" customHeight="1">
      <c r="A7" s="215" t="s">
        <v>17</v>
      </c>
      <c r="B7" s="211" t="s">
        <v>2</v>
      </c>
      <c r="C7" s="214" t="s">
        <v>87</v>
      </c>
      <c r="D7" s="211" t="s">
        <v>81</v>
      </c>
      <c r="E7" s="214" t="s">
        <v>83</v>
      </c>
      <c r="F7" s="211" t="s">
        <v>62</v>
      </c>
      <c r="G7" s="211"/>
      <c r="H7" s="211"/>
      <c r="I7" s="211"/>
      <c r="J7" s="214" t="s">
        <v>84</v>
      </c>
      <c r="K7" s="214" t="s">
        <v>83</v>
      </c>
      <c r="L7" s="211" t="s">
        <v>65</v>
      </c>
      <c r="M7" s="211"/>
      <c r="N7" s="211"/>
      <c r="O7" s="211" t="s">
        <v>68</v>
      </c>
      <c r="P7" s="211"/>
      <c r="Q7" s="211"/>
      <c r="R7" s="212" t="s">
        <v>69</v>
      </c>
      <c r="S7" s="212" t="s">
        <v>70</v>
      </c>
      <c r="T7" s="212" t="s">
        <v>71</v>
      </c>
    </row>
    <row r="8" spans="1:20" s="25" customFormat="1" ht="78.75" customHeight="1">
      <c r="A8" s="215"/>
      <c r="B8" s="211"/>
      <c r="C8" s="214"/>
      <c r="D8" s="211"/>
      <c r="E8" s="214"/>
      <c r="F8" s="14" t="s">
        <v>42</v>
      </c>
      <c r="G8" s="14" t="s">
        <v>43</v>
      </c>
      <c r="H8" s="14" t="s">
        <v>29</v>
      </c>
      <c r="I8" s="14" t="s">
        <v>14</v>
      </c>
      <c r="J8" s="214"/>
      <c r="K8" s="214"/>
      <c r="L8" s="14" t="s">
        <v>63</v>
      </c>
      <c r="M8" s="14" t="s">
        <v>64</v>
      </c>
      <c r="N8" s="14" t="s">
        <v>14</v>
      </c>
      <c r="O8" s="14" t="s">
        <v>66</v>
      </c>
      <c r="P8" s="14" t="s">
        <v>67</v>
      </c>
      <c r="Q8" s="14" t="s">
        <v>14</v>
      </c>
      <c r="R8" s="212"/>
      <c r="S8" s="212"/>
      <c r="T8" s="212"/>
    </row>
    <row r="9" spans="1:20" s="4" customFormat="1" ht="14.25">
      <c r="A9" s="13"/>
      <c r="B9" s="105">
        <v>1</v>
      </c>
      <c r="C9" s="106"/>
      <c r="D9" s="105" t="s">
        <v>82</v>
      </c>
      <c r="E9" s="107"/>
      <c r="F9" s="213">
        <v>2</v>
      </c>
      <c r="G9" s="213"/>
      <c r="H9" s="213"/>
      <c r="I9" s="213"/>
      <c r="J9" s="107"/>
      <c r="K9" s="107"/>
      <c r="L9" s="213">
        <v>3</v>
      </c>
      <c r="M9" s="213"/>
      <c r="N9" s="213"/>
      <c r="O9" s="213">
        <v>4</v>
      </c>
      <c r="P9" s="213"/>
      <c r="Q9" s="213"/>
      <c r="R9" s="108">
        <v>5</v>
      </c>
      <c r="S9" s="108">
        <v>6</v>
      </c>
      <c r="T9" s="108">
        <v>7</v>
      </c>
    </row>
    <row r="10" spans="1:21" s="148" customFormat="1" ht="17.25">
      <c r="A10" s="139">
        <v>1</v>
      </c>
      <c r="B10" s="140" t="s">
        <v>12</v>
      </c>
      <c r="C10" s="141">
        <v>32469</v>
      </c>
      <c r="D10" s="142">
        <v>32720</v>
      </c>
      <c r="E10" s="143">
        <f aca="true" t="shared" si="0" ref="E10:E23">D10-C10</f>
        <v>251</v>
      </c>
      <c r="F10" s="142">
        <v>18676</v>
      </c>
      <c r="G10" s="142">
        <v>7337</v>
      </c>
      <c r="H10" s="142">
        <v>6768</v>
      </c>
      <c r="I10" s="142">
        <f aca="true" t="shared" si="1" ref="I10:I22">SUM(F10:H10)</f>
        <v>32781</v>
      </c>
      <c r="J10" s="143">
        <v>32250</v>
      </c>
      <c r="K10" s="143">
        <f aca="true" t="shared" si="2" ref="K10:K23">I10-J10</f>
        <v>531</v>
      </c>
      <c r="L10" s="145">
        <v>18539</v>
      </c>
      <c r="M10" s="142">
        <v>1745</v>
      </c>
      <c r="N10" s="142">
        <f aca="true" t="shared" si="3" ref="N10:N22">SUM(L10:M10)</f>
        <v>20284</v>
      </c>
      <c r="O10" s="145">
        <v>18495</v>
      </c>
      <c r="P10" s="142">
        <v>1760</v>
      </c>
      <c r="Q10" s="142">
        <f aca="true" t="shared" si="4" ref="Q10:Q22">SUM(O10:P10)</f>
        <v>20255</v>
      </c>
      <c r="R10" s="146">
        <v>13580</v>
      </c>
      <c r="S10" s="146">
        <v>7068</v>
      </c>
      <c r="T10" s="177">
        <v>16</v>
      </c>
      <c r="U10" s="147"/>
    </row>
    <row r="11" spans="1:21" s="148" customFormat="1" ht="17.25">
      <c r="A11" s="139">
        <v>2</v>
      </c>
      <c r="B11" s="140" t="s">
        <v>13</v>
      </c>
      <c r="C11" s="139">
        <v>37553</v>
      </c>
      <c r="D11" s="142">
        <v>38406</v>
      </c>
      <c r="E11" s="176">
        <f t="shared" si="0"/>
        <v>853</v>
      </c>
      <c r="F11" s="142">
        <v>18858</v>
      </c>
      <c r="G11" s="142">
        <v>7862</v>
      </c>
      <c r="H11" s="142">
        <v>11686</v>
      </c>
      <c r="I11" s="142">
        <f t="shared" si="1"/>
        <v>38406</v>
      </c>
      <c r="J11" s="176">
        <v>37540</v>
      </c>
      <c r="K11" s="176">
        <f t="shared" si="2"/>
        <v>866</v>
      </c>
      <c r="L11" s="145">
        <v>21020</v>
      </c>
      <c r="M11" s="142">
        <v>2079</v>
      </c>
      <c r="N11" s="142">
        <f t="shared" si="3"/>
        <v>23099</v>
      </c>
      <c r="O11" s="145">
        <v>21492</v>
      </c>
      <c r="P11" s="142">
        <v>1769</v>
      </c>
      <c r="Q11" s="142">
        <f t="shared" si="4"/>
        <v>23261</v>
      </c>
      <c r="R11" s="146">
        <v>5781.2</v>
      </c>
      <c r="S11" s="146">
        <v>2243.27</v>
      </c>
      <c r="T11" s="177">
        <v>49</v>
      </c>
      <c r="U11" s="147"/>
    </row>
    <row r="12" spans="1:21" s="148" customFormat="1" ht="17.25">
      <c r="A12" s="139">
        <v>3</v>
      </c>
      <c r="B12" s="140" t="s">
        <v>5</v>
      </c>
      <c r="C12" s="141">
        <v>72500</v>
      </c>
      <c r="D12" s="142">
        <v>74246</v>
      </c>
      <c r="E12" s="143">
        <f t="shared" si="0"/>
        <v>1746</v>
      </c>
      <c r="F12" s="142">
        <v>39371</v>
      </c>
      <c r="G12" s="142">
        <v>15927</v>
      </c>
      <c r="H12" s="142">
        <v>18877</v>
      </c>
      <c r="I12" s="142">
        <f t="shared" si="1"/>
        <v>74175</v>
      </c>
      <c r="J12" s="143">
        <v>71821</v>
      </c>
      <c r="K12" s="143">
        <f t="shared" si="2"/>
        <v>2354</v>
      </c>
      <c r="L12" s="145">
        <v>59531</v>
      </c>
      <c r="M12" s="142">
        <v>0</v>
      </c>
      <c r="N12" s="142">
        <f t="shared" si="3"/>
        <v>59531</v>
      </c>
      <c r="O12" s="145">
        <v>59531</v>
      </c>
      <c r="P12" s="185">
        <v>0</v>
      </c>
      <c r="Q12" s="142">
        <f t="shared" si="4"/>
        <v>59531</v>
      </c>
      <c r="R12" s="146">
        <v>21185</v>
      </c>
      <c r="S12" s="146">
        <v>7061</v>
      </c>
      <c r="T12" s="177">
        <v>0</v>
      </c>
      <c r="U12" s="147"/>
    </row>
    <row r="13" spans="1:21" s="148" customFormat="1" ht="17.25">
      <c r="A13" s="139">
        <v>4</v>
      </c>
      <c r="B13" s="140" t="s">
        <v>9</v>
      </c>
      <c r="C13" s="141">
        <v>41075</v>
      </c>
      <c r="D13" s="142">
        <v>41698</v>
      </c>
      <c r="E13" s="143">
        <f t="shared" si="0"/>
        <v>623</v>
      </c>
      <c r="F13" s="142">
        <v>19856</v>
      </c>
      <c r="G13" s="142">
        <v>8152</v>
      </c>
      <c r="H13" s="142">
        <v>13489</v>
      </c>
      <c r="I13" s="142">
        <f t="shared" si="1"/>
        <v>41497</v>
      </c>
      <c r="J13" s="143">
        <v>40721</v>
      </c>
      <c r="K13" s="143">
        <f t="shared" si="2"/>
        <v>776</v>
      </c>
      <c r="L13" s="145">
        <v>23810</v>
      </c>
      <c r="M13" s="142">
        <v>1406</v>
      </c>
      <c r="N13" s="142">
        <f t="shared" si="3"/>
        <v>25216</v>
      </c>
      <c r="O13" s="145">
        <v>23810</v>
      </c>
      <c r="P13" s="185">
        <v>1406</v>
      </c>
      <c r="Q13" s="142">
        <f t="shared" si="4"/>
        <v>25216</v>
      </c>
      <c r="R13" s="146">
        <v>8073</v>
      </c>
      <c r="S13" s="146">
        <v>2501</v>
      </c>
      <c r="T13" s="177">
        <v>11</v>
      </c>
      <c r="U13" s="147"/>
    </row>
    <row r="14" spans="1:21" s="148" customFormat="1" ht="17.25">
      <c r="A14" s="139">
        <v>5</v>
      </c>
      <c r="B14" s="140" t="s">
        <v>11</v>
      </c>
      <c r="C14" s="141">
        <v>46892</v>
      </c>
      <c r="D14" s="142">
        <v>47761</v>
      </c>
      <c r="E14" s="143">
        <f t="shared" si="0"/>
        <v>869</v>
      </c>
      <c r="F14" s="142">
        <v>6609</v>
      </c>
      <c r="G14" s="142">
        <v>27676</v>
      </c>
      <c r="H14" s="142">
        <v>13337</v>
      </c>
      <c r="I14" s="142">
        <f t="shared" si="1"/>
        <v>47622</v>
      </c>
      <c r="J14" s="143">
        <v>46550</v>
      </c>
      <c r="K14" s="143">
        <f t="shared" si="2"/>
        <v>1072</v>
      </c>
      <c r="L14" s="145">
        <v>29497</v>
      </c>
      <c r="M14" s="142">
        <v>3965</v>
      </c>
      <c r="N14" s="142">
        <f t="shared" si="3"/>
        <v>33462</v>
      </c>
      <c r="O14" s="145">
        <v>29497</v>
      </c>
      <c r="P14" s="185">
        <v>3244</v>
      </c>
      <c r="Q14" s="142">
        <f t="shared" si="4"/>
        <v>32741</v>
      </c>
      <c r="R14" s="146">
        <v>4230</v>
      </c>
      <c r="S14" s="146">
        <v>2224</v>
      </c>
      <c r="T14" s="177">
        <v>0</v>
      </c>
      <c r="U14" s="147"/>
    </row>
    <row r="15" spans="1:21" s="148" customFormat="1" ht="17.25">
      <c r="A15" s="139">
        <v>6</v>
      </c>
      <c r="B15" s="140" t="s">
        <v>1</v>
      </c>
      <c r="C15" s="141">
        <v>35694</v>
      </c>
      <c r="D15" s="142">
        <v>36248</v>
      </c>
      <c r="E15" s="143">
        <f t="shared" si="0"/>
        <v>554</v>
      </c>
      <c r="F15" s="142">
        <v>14863</v>
      </c>
      <c r="G15" s="142">
        <v>13506</v>
      </c>
      <c r="H15" s="142">
        <v>8911</v>
      </c>
      <c r="I15" s="142">
        <f t="shared" si="1"/>
        <v>37280</v>
      </c>
      <c r="J15" s="143">
        <v>35694</v>
      </c>
      <c r="K15" s="144">
        <f t="shared" si="2"/>
        <v>1586</v>
      </c>
      <c r="L15" s="145">
        <v>29186</v>
      </c>
      <c r="M15" s="142">
        <v>1023</v>
      </c>
      <c r="N15" s="142">
        <f t="shared" si="3"/>
        <v>30209</v>
      </c>
      <c r="O15" s="145">
        <v>28815</v>
      </c>
      <c r="P15" s="185">
        <v>2590</v>
      </c>
      <c r="Q15" s="142">
        <f t="shared" si="4"/>
        <v>31405</v>
      </c>
      <c r="R15" s="146">
        <v>12192</v>
      </c>
      <c r="S15" s="146">
        <v>4222</v>
      </c>
      <c r="T15" s="177">
        <v>0</v>
      </c>
      <c r="U15" s="147"/>
    </row>
    <row r="16" spans="1:21" s="148" customFormat="1" ht="17.25">
      <c r="A16" s="139">
        <v>7</v>
      </c>
      <c r="B16" s="140" t="s">
        <v>10</v>
      </c>
      <c r="C16" s="141">
        <v>33823</v>
      </c>
      <c r="D16" s="142">
        <v>33947</v>
      </c>
      <c r="E16" s="143">
        <f t="shared" si="0"/>
        <v>124</v>
      </c>
      <c r="F16" s="142">
        <v>7744</v>
      </c>
      <c r="G16" s="142">
        <v>14293</v>
      </c>
      <c r="H16" s="142">
        <v>11910</v>
      </c>
      <c r="I16" s="142">
        <f t="shared" si="1"/>
        <v>33947</v>
      </c>
      <c r="J16" s="143">
        <v>33616</v>
      </c>
      <c r="K16" s="143">
        <f t="shared" si="2"/>
        <v>331</v>
      </c>
      <c r="L16" s="145">
        <v>20556</v>
      </c>
      <c r="M16" s="142">
        <v>2553</v>
      </c>
      <c r="N16" s="142">
        <f t="shared" si="3"/>
        <v>23109</v>
      </c>
      <c r="O16" s="145">
        <v>20517</v>
      </c>
      <c r="P16" s="185">
        <v>2425</v>
      </c>
      <c r="Q16" s="142">
        <f t="shared" si="4"/>
        <v>22942</v>
      </c>
      <c r="R16" s="146">
        <v>8138</v>
      </c>
      <c r="S16" s="146">
        <v>3829</v>
      </c>
      <c r="T16" s="177">
        <v>251</v>
      </c>
      <c r="U16" s="147"/>
    </row>
    <row r="17" spans="1:21" s="148" customFormat="1" ht="17.25">
      <c r="A17" s="139">
        <v>8</v>
      </c>
      <c r="B17" s="140" t="s">
        <v>6</v>
      </c>
      <c r="C17" s="141">
        <v>49283</v>
      </c>
      <c r="D17" s="142">
        <v>50068</v>
      </c>
      <c r="E17" s="143">
        <f t="shared" si="0"/>
        <v>785</v>
      </c>
      <c r="F17" s="142">
        <v>16108</v>
      </c>
      <c r="G17" s="142">
        <v>16922</v>
      </c>
      <c r="H17" s="142">
        <v>16661</v>
      </c>
      <c r="I17" s="142">
        <f t="shared" si="1"/>
        <v>49691</v>
      </c>
      <c r="J17" s="143">
        <v>49114</v>
      </c>
      <c r="K17" s="144">
        <f t="shared" si="2"/>
        <v>577</v>
      </c>
      <c r="L17" s="145">
        <v>32564</v>
      </c>
      <c r="M17" s="142">
        <v>1978</v>
      </c>
      <c r="N17" s="142">
        <f t="shared" si="3"/>
        <v>34542</v>
      </c>
      <c r="O17" s="145">
        <v>32558</v>
      </c>
      <c r="P17" s="185">
        <v>1728</v>
      </c>
      <c r="Q17" s="142">
        <f t="shared" si="4"/>
        <v>34286</v>
      </c>
      <c r="R17" s="146">
        <v>10820</v>
      </c>
      <c r="S17" s="146">
        <v>4060</v>
      </c>
      <c r="T17" s="177">
        <v>36</v>
      </c>
      <c r="U17" s="147"/>
    </row>
    <row r="18" spans="1:21" s="148" customFormat="1" ht="17.25">
      <c r="A18" s="139">
        <v>9</v>
      </c>
      <c r="B18" s="140" t="s">
        <v>7</v>
      </c>
      <c r="C18" s="141">
        <v>20646</v>
      </c>
      <c r="D18" s="142">
        <v>21024</v>
      </c>
      <c r="E18" s="143">
        <f t="shared" si="0"/>
        <v>378</v>
      </c>
      <c r="F18" s="142">
        <v>5205</v>
      </c>
      <c r="G18" s="142">
        <v>10332</v>
      </c>
      <c r="H18" s="185">
        <v>5483</v>
      </c>
      <c r="I18" s="142">
        <f t="shared" si="1"/>
        <v>21020</v>
      </c>
      <c r="J18" s="143">
        <v>20423</v>
      </c>
      <c r="K18" s="144">
        <f t="shared" si="2"/>
        <v>597</v>
      </c>
      <c r="L18" s="145">
        <v>14258</v>
      </c>
      <c r="M18" s="185">
        <v>652</v>
      </c>
      <c r="N18" s="142">
        <f t="shared" si="3"/>
        <v>14910</v>
      </c>
      <c r="O18" s="145">
        <v>14258</v>
      </c>
      <c r="P18" s="185">
        <v>652</v>
      </c>
      <c r="Q18" s="142">
        <f t="shared" si="4"/>
        <v>14910</v>
      </c>
      <c r="R18" s="146">
        <v>7627</v>
      </c>
      <c r="S18" s="146">
        <v>3367</v>
      </c>
      <c r="T18" s="177">
        <v>0</v>
      </c>
      <c r="U18" s="147"/>
    </row>
    <row r="19" spans="1:21" s="148" customFormat="1" ht="17.25">
      <c r="A19" s="139">
        <v>10</v>
      </c>
      <c r="B19" s="140" t="s">
        <v>0</v>
      </c>
      <c r="C19" s="141">
        <v>58712</v>
      </c>
      <c r="D19" s="142">
        <v>59607</v>
      </c>
      <c r="E19" s="143">
        <f t="shared" si="0"/>
        <v>895</v>
      </c>
      <c r="F19" s="142">
        <v>44530</v>
      </c>
      <c r="G19" s="142">
        <v>863</v>
      </c>
      <c r="H19" s="142">
        <v>14171</v>
      </c>
      <c r="I19" s="142">
        <f t="shared" si="1"/>
        <v>59564</v>
      </c>
      <c r="J19" s="143">
        <v>58564</v>
      </c>
      <c r="K19" s="143">
        <f t="shared" si="2"/>
        <v>1000</v>
      </c>
      <c r="L19" s="145">
        <v>34752</v>
      </c>
      <c r="M19" s="185">
        <v>2637</v>
      </c>
      <c r="N19" s="142">
        <f t="shared" si="3"/>
        <v>37389</v>
      </c>
      <c r="O19" s="145">
        <v>34693</v>
      </c>
      <c r="P19" s="185">
        <v>2699</v>
      </c>
      <c r="Q19" s="142">
        <f t="shared" si="4"/>
        <v>37392</v>
      </c>
      <c r="R19" s="146">
        <v>12948</v>
      </c>
      <c r="S19" s="146">
        <v>4554</v>
      </c>
      <c r="T19" s="190">
        <v>50</v>
      </c>
      <c r="U19" s="147"/>
    </row>
    <row r="20" spans="1:21" s="148" customFormat="1" ht="17.25">
      <c r="A20" s="139">
        <v>11</v>
      </c>
      <c r="B20" s="140" t="s">
        <v>8</v>
      </c>
      <c r="C20" s="141">
        <v>21649</v>
      </c>
      <c r="D20" s="142">
        <v>21829</v>
      </c>
      <c r="E20" s="143">
        <f t="shared" si="0"/>
        <v>180</v>
      </c>
      <c r="F20" s="142">
        <v>4649</v>
      </c>
      <c r="G20" s="142">
        <v>10720</v>
      </c>
      <c r="H20" s="142">
        <v>6337</v>
      </c>
      <c r="I20" s="142">
        <f t="shared" si="1"/>
        <v>21706</v>
      </c>
      <c r="J20" s="143">
        <v>21544</v>
      </c>
      <c r="K20" s="143">
        <f t="shared" si="2"/>
        <v>162</v>
      </c>
      <c r="L20" s="145">
        <v>13649</v>
      </c>
      <c r="M20" s="185">
        <v>522</v>
      </c>
      <c r="N20" s="142">
        <f t="shared" si="3"/>
        <v>14171</v>
      </c>
      <c r="O20" s="145">
        <v>13649</v>
      </c>
      <c r="P20" s="185">
        <v>522</v>
      </c>
      <c r="Q20" s="142">
        <f t="shared" si="4"/>
        <v>14171</v>
      </c>
      <c r="R20" s="146">
        <v>555</v>
      </c>
      <c r="S20" s="146">
        <v>106</v>
      </c>
      <c r="T20" s="190">
        <v>20</v>
      </c>
      <c r="U20" s="147"/>
    </row>
    <row r="21" spans="1:21" s="148" customFormat="1" ht="17.25">
      <c r="A21" s="139">
        <v>12</v>
      </c>
      <c r="B21" s="140" t="s">
        <v>4</v>
      </c>
      <c r="C21" s="141">
        <v>40656</v>
      </c>
      <c r="D21" s="142">
        <v>42092</v>
      </c>
      <c r="E21" s="143">
        <f t="shared" si="0"/>
        <v>1436</v>
      </c>
      <c r="F21" s="142">
        <v>24970</v>
      </c>
      <c r="G21" s="142">
        <v>2341</v>
      </c>
      <c r="H21" s="142">
        <v>14781</v>
      </c>
      <c r="I21" s="142">
        <f t="shared" si="1"/>
        <v>42092</v>
      </c>
      <c r="J21" s="143">
        <v>40656</v>
      </c>
      <c r="K21" s="143">
        <f t="shared" si="2"/>
        <v>1436</v>
      </c>
      <c r="L21" s="145">
        <v>21857</v>
      </c>
      <c r="M21" s="142">
        <v>3967</v>
      </c>
      <c r="N21" s="142">
        <f t="shared" si="3"/>
        <v>25824</v>
      </c>
      <c r="O21" s="145">
        <f>21775+1193</f>
        <v>22968</v>
      </c>
      <c r="P21" s="185">
        <v>3949</v>
      </c>
      <c r="Q21" s="142">
        <f t="shared" si="4"/>
        <v>26917</v>
      </c>
      <c r="R21" s="146">
        <f>9958+1193</f>
        <v>11151</v>
      </c>
      <c r="S21" s="146">
        <f>3914+93</f>
        <v>4007</v>
      </c>
      <c r="T21" s="190">
        <v>8</v>
      </c>
      <c r="U21" s="147"/>
    </row>
    <row r="22" spans="1:21" s="148" customFormat="1" ht="17.25">
      <c r="A22" s="139">
        <v>13</v>
      </c>
      <c r="B22" s="140" t="s">
        <v>3</v>
      </c>
      <c r="C22" s="141">
        <v>54394</v>
      </c>
      <c r="D22" s="142">
        <v>55145</v>
      </c>
      <c r="E22" s="143">
        <f t="shared" si="0"/>
        <v>751</v>
      </c>
      <c r="F22" s="142">
        <v>37439</v>
      </c>
      <c r="G22" s="142">
        <v>4228</v>
      </c>
      <c r="H22" s="142">
        <v>13241</v>
      </c>
      <c r="I22" s="142">
        <f t="shared" si="1"/>
        <v>54908</v>
      </c>
      <c r="J22" s="143">
        <v>54218</v>
      </c>
      <c r="K22" s="144">
        <f t="shared" si="2"/>
        <v>690</v>
      </c>
      <c r="L22" s="145">
        <v>34956</v>
      </c>
      <c r="M22" s="142">
        <v>2024</v>
      </c>
      <c r="N22" s="142">
        <f t="shared" si="3"/>
        <v>36980</v>
      </c>
      <c r="O22" s="145">
        <v>34102</v>
      </c>
      <c r="P22" s="142">
        <v>1937</v>
      </c>
      <c r="Q22" s="142">
        <f t="shared" si="4"/>
        <v>36039</v>
      </c>
      <c r="R22" s="146">
        <v>6163</v>
      </c>
      <c r="S22" s="146">
        <v>5382</v>
      </c>
      <c r="T22" s="146">
        <v>2</v>
      </c>
      <c r="U22" s="147"/>
    </row>
    <row r="23" spans="1:21" s="93" customFormat="1" ht="15">
      <c r="A23" s="109"/>
      <c r="B23" s="110" t="s">
        <v>14</v>
      </c>
      <c r="C23" s="111">
        <f>SUM(C10:C22)</f>
        <v>545346</v>
      </c>
      <c r="D23" s="112">
        <f>SUM(D10:D22)</f>
        <v>554791</v>
      </c>
      <c r="E23" s="113">
        <f t="shared" si="0"/>
        <v>9445</v>
      </c>
      <c r="F23" s="112">
        <f>SUM(F10:F22)</f>
        <v>258878</v>
      </c>
      <c r="G23" s="112">
        <f>SUM(G10:G22)</f>
        <v>140159</v>
      </c>
      <c r="H23" s="112">
        <f>SUM(H10:H22)</f>
        <v>155652</v>
      </c>
      <c r="I23" s="112">
        <f>SUM(I10:I22)</f>
        <v>554689</v>
      </c>
      <c r="J23" s="114">
        <f>SUM(J10:J22)</f>
        <v>542711</v>
      </c>
      <c r="K23" s="115">
        <f t="shared" si="2"/>
        <v>11978</v>
      </c>
      <c r="L23" s="112">
        <f aca="true" t="shared" si="5" ref="L23:T23">SUM(L10:L22)</f>
        <v>354175</v>
      </c>
      <c r="M23" s="112">
        <f t="shared" si="5"/>
        <v>24551</v>
      </c>
      <c r="N23" s="112">
        <f t="shared" si="5"/>
        <v>378726</v>
      </c>
      <c r="O23" s="112">
        <f t="shared" si="5"/>
        <v>354385</v>
      </c>
      <c r="P23" s="112">
        <f t="shared" si="5"/>
        <v>24681</v>
      </c>
      <c r="Q23" s="112">
        <f t="shared" si="5"/>
        <v>379066</v>
      </c>
      <c r="R23" s="112">
        <f t="shared" si="5"/>
        <v>122443.2</v>
      </c>
      <c r="S23" s="112">
        <f t="shared" si="5"/>
        <v>50624.270000000004</v>
      </c>
      <c r="T23" s="112">
        <f t="shared" si="5"/>
        <v>443</v>
      </c>
      <c r="U23" s="116"/>
    </row>
    <row r="24" spans="1:20" ht="13.5">
      <c r="A24" s="18"/>
      <c r="B24" s="9"/>
      <c r="C24" s="87"/>
      <c r="D24" s="9"/>
      <c r="E24" s="9"/>
      <c r="F24" s="136"/>
      <c r="G24" s="136"/>
      <c r="H24" s="136"/>
      <c r="I24" s="46"/>
      <c r="J24" s="90"/>
      <c r="K24" s="90"/>
      <c r="L24" s="12"/>
      <c r="M24" s="12"/>
      <c r="N24" s="12"/>
      <c r="O24" s="12"/>
      <c r="P24" s="39"/>
      <c r="Q24" s="12"/>
      <c r="R24" s="39"/>
      <c r="S24" s="12"/>
      <c r="T24" s="12"/>
    </row>
    <row r="25" spans="1:20" ht="13.5">
      <c r="A25" s="18"/>
      <c r="B25" s="9"/>
      <c r="C25" s="87"/>
      <c r="D25" s="9"/>
      <c r="E25" s="9"/>
      <c r="F25" s="12"/>
      <c r="G25" s="12"/>
      <c r="H25" s="12"/>
      <c r="I25" s="12"/>
      <c r="J25" s="91"/>
      <c r="K25" s="91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3.5">
      <c r="A26" s="18"/>
      <c r="B26" s="118"/>
      <c r="C26" s="87" t="s">
        <v>85</v>
      </c>
      <c r="D26" s="9"/>
      <c r="E26" s="9"/>
      <c r="F26" s="12"/>
      <c r="G26" s="12"/>
      <c r="H26" s="12"/>
      <c r="I26" s="97"/>
      <c r="J26" s="92"/>
      <c r="K26" s="92"/>
      <c r="L26" s="12"/>
      <c r="M26" s="12"/>
      <c r="N26" s="12"/>
      <c r="O26" s="12"/>
      <c r="P26" s="12"/>
      <c r="Q26" s="208"/>
      <c r="R26" s="208"/>
      <c r="S26" s="208"/>
      <c r="T26" s="208"/>
    </row>
    <row r="27" spans="1:20" ht="13.5">
      <c r="A27" s="18"/>
      <c r="B27" s="9"/>
      <c r="C27" s="87"/>
      <c r="D27" s="9"/>
      <c r="E27" s="9"/>
      <c r="F27" s="12"/>
      <c r="G27" s="12"/>
      <c r="H27" s="12"/>
      <c r="I27" s="12"/>
      <c r="J27" s="91"/>
      <c r="K27" s="91"/>
      <c r="L27" s="12"/>
      <c r="M27" s="12"/>
      <c r="N27" s="12"/>
      <c r="O27" s="12"/>
      <c r="P27" s="12"/>
      <c r="Q27" s="208"/>
      <c r="R27" s="208"/>
      <c r="S27" s="208"/>
      <c r="T27" s="208"/>
    </row>
    <row r="34" spans="14:17" ht="16.5">
      <c r="N34" s="84"/>
      <c r="O34" s="85"/>
      <c r="P34" s="85"/>
      <c r="Q34"/>
    </row>
    <row r="35" spans="14:17" ht="16.5">
      <c r="N35" s="84"/>
      <c r="O35" s="85"/>
      <c r="P35" s="85"/>
      <c r="Q35"/>
    </row>
    <row r="36" spans="14:17" ht="16.5">
      <c r="N36" s="84"/>
      <c r="O36" s="85"/>
      <c r="P36" s="85"/>
      <c r="Q36"/>
    </row>
    <row r="37" spans="14:17" ht="16.5">
      <c r="N37" s="84"/>
      <c r="O37" s="85"/>
      <c r="P37" s="85"/>
      <c r="Q37"/>
    </row>
    <row r="38" spans="14:17" ht="16.5">
      <c r="N38" s="84"/>
      <c r="O38"/>
      <c r="P38" s="85"/>
      <c r="Q38" s="85"/>
    </row>
    <row r="39" spans="14:17" ht="16.5">
      <c r="N39" s="84"/>
      <c r="O39" s="85"/>
      <c r="P39" s="85"/>
      <c r="Q39"/>
    </row>
    <row r="40" spans="14:17" ht="16.5">
      <c r="N40" s="84"/>
      <c r="O40" s="85"/>
      <c r="P40" s="85"/>
      <c r="Q40"/>
    </row>
    <row r="41" spans="14:17" ht="16.5">
      <c r="N41" s="84"/>
      <c r="O41" s="85"/>
      <c r="P41" s="85"/>
      <c r="Q41"/>
    </row>
  </sheetData>
  <mergeCells count="21">
    <mergeCell ref="A7:A8"/>
    <mergeCell ref="C7:C8"/>
    <mergeCell ref="F9:I9"/>
    <mergeCell ref="L9:N9"/>
    <mergeCell ref="O9:Q9"/>
    <mergeCell ref="D7:D8"/>
    <mergeCell ref="J7:J8"/>
    <mergeCell ref="K7:K8"/>
    <mergeCell ref="E7:E8"/>
    <mergeCell ref="L7:N7"/>
    <mergeCell ref="O7:Q7"/>
    <mergeCell ref="Q26:T26"/>
    <mergeCell ref="Q27:T27"/>
    <mergeCell ref="A1:T1"/>
    <mergeCell ref="A4:T4"/>
    <mergeCell ref="F7:I7"/>
    <mergeCell ref="A2:T2"/>
    <mergeCell ref="R7:R8"/>
    <mergeCell ref="S7:S8"/>
    <mergeCell ref="T7:T8"/>
    <mergeCell ref="B7:B8"/>
  </mergeCells>
  <conditionalFormatting sqref="K10:K22 E10:E23">
    <cfRule type="cellIs" priority="1" dxfId="0" operator="lessThan" stopIfTrue="1">
      <formula>0</formula>
    </cfRule>
  </conditionalFormatting>
  <printOptions horizontalCentered="1"/>
  <pageMargins left="0.5" right="0.25" top="0.5" bottom="0.75" header="0.5" footer="0.5"/>
  <pageSetup horizontalDpi="600" verticalDpi="600" orientation="landscape" paperSize="9" scale="86" r:id="rId1"/>
  <headerFooter alignWithMargins="0">
    <oddHeader>&amp;RPart-I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85" zoomScaleNormal="85" workbookViewId="0" topLeftCell="A1">
      <pane ySplit="9" topLeftCell="BM13" activePane="bottomLeft" state="frozen"/>
      <selection pane="topLeft" activeCell="A1" sqref="A1"/>
      <selection pane="bottomLeft" activeCell="L24" sqref="L24:N24"/>
    </sheetView>
  </sheetViews>
  <sheetFormatPr defaultColWidth="9.140625" defaultRowHeight="12.75"/>
  <cols>
    <col min="1" max="1" width="6.140625" style="1" customWidth="1"/>
    <col min="2" max="2" width="17.00390625" style="2" customWidth="1"/>
    <col min="3" max="3" width="9.8515625" style="1" customWidth="1"/>
    <col min="4" max="4" width="10.00390625" style="1" customWidth="1"/>
    <col min="5" max="5" width="9.7109375" style="1" bestFit="1" customWidth="1"/>
    <col min="6" max="6" width="10.140625" style="1" customWidth="1"/>
    <col min="7" max="7" width="10.00390625" style="1" customWidth="1"/>
    <col min="8" max="8" width="11.7109375" style="1" bestFit="1" customWidth="1"/>
    <col min="9" max="9" width="10.7109375" style="1" bestFit="1" customWidth="1"/>
    <col min="10" max="10" width="10.8515625" style="1" customWidth="1"/>
    <col min="11" max="11" width="6.28125" style="1" hidden="1" customWidth="1"/>
    <col min="12" max="12" width="13.140625" style="1" customWidth="1"/>
    <col min="13" max="13" width="12.28125" style="1" customWidth="1"/>
    <col min="14" max="14" width="10.00390625" style="1" customWidth="1"/>
    <col min="15" max="15" width="9.57421875" style="1" bestFit="1" customWidth="1"/>
    <col min="16" max="17" width="9.140625" style="1" customWidth="1"/>
    <col min="18" max="18" width="9.7109375" style="1" customWidth="1"/>
    <col min="19" max="16384" width="9.140625" style="1" customWidth="1"/>
  </cols>
  <sheetData>
    <row r="1" spans="1:14" ht="29.25" customHeight="1">
      <c r="A1" s="217" t="s">
        <v>77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s="44" customFormat="1" ht="25.5" customHeight="1">
      <c r="A2" s="221" t="s">
        <v>41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1:14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6.5" customHeight="1">
      <c r="A4" s="218" t="s">
        <v>89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4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 customHeight="1">
      <c r="A6" s="8" t="s">
        <v>16</v>
      </c>
      <c r="B6" s="9"/>
      <c r="C6" s="53"/>
      <c r="D6" s="10"/>
      <c r="E6" s="10"/>
      <c r="F6" s="10"/>
      <c r="G6" s="47"/>
      <c r="H6" s="10"/>
      <c r="I6" s="10"/>
      <c r="J6" s="10"/>
      <c r="K6" s="10"/>
      <c r="L6" s="10"/>
      <c r="M6" s="12"/>
      <c r="N6" s="12"/>
    </row>
    <row r="7" spans="1:14" s="24" customFormat="1" ht="30" customHeight="1">
      <c r="A7" s="216" t="s">
        <v>17</v>
      </c>
      <c r="B7" s="219" t="s">
        <v>2</v>
      </c>
      <c r="C7" s="216" t="s">
        <v>33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</row>
    <row r="8" spans="1:14" s="25" customFormat="1" ht="14.25" customHeight="1">
      <c r="A8" s="216"/>
      <c r="B8" s="219"/>
      <c r="C8" s="220" t="s">
        <v>42</v>
      </c>
      <c r="D8" s="220"/>
      <c r="E8" s="220" t="s">
        <v>43</v>
      </c>
      <c r="F8" s="220"/>
      <c r="G8" s="222" t="s">
        <v>20</v>
      </c>
      <c r="H8" s="223"/>
      <c r="I8" s="220" t="s">
        <v>46</v>
      </c>
      <c r="J8" s="220"/>
      <c r="K8" s="102"/>
      <c r="L8" s="220" t="s">
        <v>47</v>
      </c>
      <c r="M8" s="220" t="s">
        <v>79</v>
      </c>
      <c r="N8" s="220" t="s">
        <v>48</v>
      </c>
    </row>
    <row r="9" spans="1:19" s="25" customFormat="1" ht="54.75" customHeight="1">
      <c r="A9" s="216"/>
      <c r="B9" s="219"/>
      <c r="C9" s="103" t="s">
        <v>44</v>
      </c>
      <c r="D9" s="103" t="s">
        <v>45</v>
      </c>
      <c r="E9" s="103" t="s">
        <v>44</v>
      </c>
      <c r="F9" s="103" t="s">
        <v>45</v>
      </c>
      <c r="G9" s="103" t="s">
        <v>44</v>
      </c>
      <c r="H9" s="103" t="s">
        <v>45</v>
      </c>
      <c r="I9" s="102" t="s">
        <v>72</v>
      </c>
      <c r="J9" s="102" t="s">
        <v>73</v>
      </c>
      <c r="K9" s="102"/>
      <c r="L9" s="220"/>
      <c r="M9" s="220"/>
      <c r="N9" s="220"/>
      <c r="S9" s="25" t="s">
        <v>88</v>
      </c>
    </row>
    <row r="10" spans="1:14" s="4" customFormat="1" ht="14.25">
      <c r="A10" s="41">
        <v>1</v>
      </c>
      <c r="B10" s="4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/>
      <c r="L10" s="41">
        <v>11</v>
      </c>
      <c r="M10" s="41">
        <v>12</v>
      </c>
      <c r="N10" s="41">
        <v>13</v>
      </c>
    </row>
    <row r="11" spans="1:20" s="156" customFormat="1" ht="15">
      <c r="A11" s="149">
        <v>1</v>
      </c>
      <c r="B11" s="150" t="s">
        <v>12</v>
      </c>
      <c r="C11" s="151">
        <v>11415</v>
      </c>
      <c r="D11" s="152">
        <v>2.2804504</v>
      </c>
      <c r="E11" s="151">
        <v>4892</v>
      </c>
      <c r="F11" s="152">
        <v>0.8447941</v>
      </c>
      <c r="G11" s="151">
        <v>3910</v>
      </c>
      <c r="H11" s="152">
        <v>1.3518222</v>
      </c>
      <c r="I11" s="153">
        <f>C11+E11+G11</f>
        <v>20217</v>
      </c>
      <c r="J11" s="152">
        <f>D11+F11+H11</f>
        <v>4.4770667</v>
      </c>
      <c r="K11" s="154">
        <f>(J11*100000)/I11</f>
        <v>22.145059603304148</v>
      </c>
      <c r="L11" s="151">
        <v>118961</v>
      </c>
      <c r="M11" s="151">
        <v>2508</v>
      </c>
      <c r="N11" s="155">
        <v>56</v>
      </c>
      <c r="O11" s="156">
        <f>J11*70</f>
        <v>313.394669</v>
      </c>
      <c r="P11" s="156">
        <v>99.66126</v>
      </c>
      <c r="Q11" s="156">
        <f>O11-P11</f>
        <v>213.73340900000002</v>
      </c>
      <c r="R11" s="156" t="e">
        <f>(J11*100000)/#REF!</f>
        <v>#REF!</v>
      </c>
      <c r="S11" s="156">
        <v>3.02037</v>
      </c>
      <c r="T11" s="158">
        <f>J11-S11</f>
        <v>1.4566966999999997</v>
      </c>
    </row>
    <row r="12" spans="1:20" s="148" customFormat="1" ht="15.75">
      <c r="A12" s="178">
        <v>2</v>
      </c>
      <c r="B12" s="179" t="s">
        <v>13</v>
      </c>
      <c r="C12" s="180">
        <v>13728.45</v>
      </c>
      <c r="D12" s="181">
        <v>1.3784113460339065</v>
      </c>
      <c r="E12" s="180">
        <v>2356.13</v>
      </c>
      <c r="F12" s="181">
        <v>0.6884223582301563</v>
      </c>
      <c r="G12" s="180">
        <v>8364.42</v>
      </c>
      <c r="H12" s="181">
        <v>2.017983558998805</v>
      </c>
      <c r="I12" s="153">
        <f aca="true" t="shared" si="0" ref="I12:I17">C12+E12+G12</f>
        <v>24449</v>
      </c>
      <c r="J12" s="181">
        <f aca="true" t="shared" si="1" ref="J12:J17">D12+F12+H12</f>
        <v>4.0848172632628685</v>
      </c>
      <c r="K12" s="154">
        <f aca="true" t="shared" si="2" ref="K12:K24">(J12*100000)/I12</f>
        <v>16.70750240608151</v>
      </c>
      <c r="L12" s="180">
        <v>98167.1815815717</v>
      </c>
      <c r="M12" s="180">
        <v>8696.266342341452</v>
      </c>
      <c r="N12" s="182">
        <v>3772.007263262868</v>
      </c>
      <c r="O12" s="148">
        <f>J12*70</f>
        <v>285.9372084284008</v>
      </c>
      <c r="P12" s="148">
        <v>56.75555</v>
      </c>
      <c r="Q12" s="183">
        <f aca="true" t="shared" si="3" ref="Q12:Q23">O12-P12</f>
        <v>229.18165842840082</v>
      </c>
      <c r="R12" s="148" t="e">
        <f>(J12*100000)/#REF!</f>
        <v>#REF!</v>
      </c>
      <c r="S12" s="148">
        <v>2.40018</v>
      </c>
      <c r="T12" s="158">
        <f aca="true" t="shared" si="4" ref="T12:T23">J12-S12</f>
        <v>1.6846372632628683</v>
      </c>
    </row>
    <row r="13" spans="1:20" s="156" customFormat="1" ht="15">
      <c r="A13" s="149">
        <v>3</v>
      </c>
      <c r="B13" s="150" t="s">
        <v>5</v>
      </c>
      <c r="C13" s="151">
        <v>28404</v>
      </c>
      <c r="D13" s="152">
        <v>4.0345</v>
      </c>
      <c r="E13" s="151">
        <v>12647</v>
      </c>
      <c r="F13" s="152">
        <v>2.23287</v>
      </c>
      <c r="G13" s="151">
        <v>18480</v>
      </c>
      <c r="H13" s="152">
        <v>2.15475</v>
      </c>
      <c r="I13" s="153">
        <f>C13+E13+G13</f>
        <v>59531</v>
      </c>
      <c r="J13" s="152">
        <f t="shared" si="1"/>
        <v>8.42212</v>
      </c>
      <c r="K13" s="154">
        <f t="shared" si="2"/>
        <v>14.147452587727402</v>
      </c>
      <c r="L13" s="151">
        <v>223692</v>
      </c>
      <c r="M13" s="151">
        <v>4375</v>
      </c>
      <c r="N13" s="155">
        <v>109</v>
      </c>
      <c r="O13" s="156">
        <f aca="true" t="shared" si="5" ref="O13:O23">J13*70</f>
        <v>589.5484</v>
      </c>
      <c r="P13" s="156">
        <v>124.82662</v>
      </c>
      <c r="Q13" s="156">
        <f t="shared" si="3"/>
        <v>464.72178</v>
      </c>
      <c r="R13" s="156" t="e">
        <f>(J13*100000)/#REF!</f>
        <v>#REF!</v>
      </c>
      <c r="S13" s="156">
        <v>7.03098</v>
      </c>
      <c r="T13" s="158">
        <f t="shared" si="4"/>
        <v>1.39114</v>
      </c>
    </row>
    <row r="14" spans="1:20" s="156" customFormat="1" ht="15">
      <c r="A14" s="149">
        <v>4</v>
      </c>
      <c r="B14" s="150" t="s">
        <v>9</v>
      </c>
      <c r="C14" s="151">
        <v>10199</v>
      </c>
      <c r="D14" s="152">
        <v>1.896275</v>
      </c>
      <c r="E14" s="151">
        <v>6662</v>
      </c>
      <c r="F14" s="152">
        <v>0.954195</v>
      </c>
      <c r="G14" s="151">
        <v>8355</v>
      </c>
      <c r="H14" s="152">
        <v>1.3443338</v>
      </c>
      <c r="I14" s="153">
        <f t="shared" si="0"/>
        <v>25216</v>
      </c>
      <c r="J14" s="152">
        <f t="shared" si="1"/>
        <v>4.1948038</v>
      </c>
      <c r="K14" s="154">
        <f t="shared" si="2"/>
        <v>16.63548461294416</v>
      </c>
      <c r="L14" s="151">
        <v>142984</v>
      </c>
      <c r="M14" s="151">
        <v>1770</v>
      </c>
      <c r="N14" s="155">
        <v>7</v>
      </c>
      <c r="O14" s="156">
        <f t="shared" si="5"/>
        <v>293.636266</v>
      </c>
      <c r="P14" s="156">
        <v>80.87679</v>
      </c>
      <c r="Q14" s="156">
        <f t="shared" si="3"/>
        <v>212.75947599999998</v>
      </c>
      <c r="R14" s="156" t="e">
        <f>(J14*100000)/#REF!</f>
        <v>#REF!</v>
      </c>
      <c r="S14" s="156">
        <v>3.06432</v>
      </c>
      <c r="T14" s="158">
        <f t="shared" si="4"/>
        <v>1.1304838</v>
      </c>
    </row>
    <row r="15" spans="1:20" s="156" customFormat="1" ht="15">
      <c r="A15" s="149">
        <v>5</v>
      </c>
      <c r="B15" s="150" t="s">
        <v>11</v>
      </c>
      <c r="C15" s="151">
        <v>4806</v>
      </c>
      <c r="D15" s="152">
        <v>0.91835</v>
      </c>
      <c r="E15" s="151">
        <v>18371</v>
      </c>
      <c r="F15" s="152">
        <v>3.2902739999999997</v>
      </c>
      <c r="G15" s="151">
        <v>7901</v>
      </c>
      <c r="H15" s="152">
        <v>1.4243699999999997</v>
      </c>
      <c r="I15" s="153">
        <f t="shared" si="0"/>
        <v>31078</v>
      </c>
      <c r="J15" s="152">
        <f t="shared" si="1"/>
        <v>5.632993999999999</v>
      </c>
      <c r="K15" s="154">
        <f t="shared" si="2"/>
        <v>18.125342686144535</v>
      </c>
      <c r="L15" s="151">
        <v>202635</v>
      </c>
      <c r="M15" s="151">
        <v>2301</v>
      </c>
      <c r="N15" s="155">
        <v>75</v>
      </c>
      <c r="O15" s="156">
        <f t="shared" si="5"/>
        <v>394.3095799999999</v>
      </c>
      <c r="P15" s="156">
        <v>124.9542</v>
      </c>
      <c r="Q15" s="156">
        <f t="shared" si="3"/>
        <v>269.3553799999999</v>
      </c>
      <c r="R15" s="156" t="e">
        <f>(J15*100000)/#REF!</f>
        <v>#REF!</v>
      </c>
      <c r="S15" s="156">
        <v>3.99136</v>
      </c>
      <c r="T15" s="158">
        <f t="shared" si="4"/>
        <v>1.6416339999999994</v>
      </c>
    </row>
    <row r="16" spans="1:20" s="156" customFormat="1" ht="15">
      <c r="A16" s="149">
        <v>6</v>
      </c>
      <c r="B16" s="150" t="s">
        <v>1</v>
      </c>
      <c r="C16" s="151">
        <v>14347</v>
      </c>
      <c r="D16" s="152">
        <v>1.94901</v>
      </c>
      <c r="E16" s="151">
        <v>13096</v>
      </c>
      <c r="F16" s="152">
        <v>1.48837</v>
      </c>
      <c r="G16" s="151">
        <v>6551</v>
      </c>
      <c r="H16" s="152">
        <v>0.92846</v>
      </c>
      <c r="I16" s="153">
        <f t="shared" si="0"/>
        <v>33994</v>
      </c>
      <c r="J16" s="152">
        <f t="shared" si="1"/>
        <v>4.36584</v>
      </c>
      <c r="K16" s="154">
        <f t="shared" si="2"/>
        <v>12.842972289227513</v>
      </c>
      <c r="L16" s="151">
        <v>95573</v>
      </c>
      <c r="M16" s="151">
        <v>6730</v>
      </c>
      <c r="N16" s="155">
        <v>96</v>
      </c>
      <c r="O16" s="156">
        <f t="shared" si="5"/>
        <v>305.60880000000003</v>
      </c>
      <c r="P16" s="156">
        <v>48.33766</v>
      </c>
      <c r="Q16" s="156">
        <f t="shared" si="3"/>
        <v>257.27114000000006</v>
      </c>
      <c r="R16" s="156" t="e">
        <f>(J16*100000)/#REF!</f>
        <v>#REF!</v>
      </c>
      <c r="S16" s="156">
        <v>3.152953</v>
      </c>
      <c r="T16" s="158">
        <f t="shared" si="4"/>
        <v>1.2128870000000003</v>
      </c>
    </row>
    <row r="17" spans="1:20" s="156" customFormat="1" ht="15">
      <c r="A17" s="149">
        <v>7</v>
      </c>
      <c r="B17" s="150" t="s">
        <v>10</v>
      </c>
      <c r="C17" s="151">
        <v>4232</v>
      </c>
      <c r="D17" s="152">
        <v>0.91299</v>
      </c>
      <c r="E17" s="151">
        <v>10364</v>
      </c>
      <c r="F17" s="152">
        <v>2.59973</v>
      </c>
      <c r="G17" s="151">
        <v>8005</v>
      </c>
      <c r="H17" s="152">
        <v>1.61656</v>
      </c>
      <c r="I17" s="153">
        <f t="shared" si="0"/>
        <v>22601</v>
      </c>
      <c r="J17" s="152">
        <f t="shared" si="1"/>
        <v>5.12928</v>
      </c>
      <c r="K17" s="154">
        <f t="shared" si="2"/>
        <v>22.694925003318435</v>
      </c>
      <c r="L17" s="151">
        <v>166323</v>
      </c>
      <c r="M17" s="151">
        <v>640</v>
      </c>
      <c r="N17" s="155">
        <v>95</v>
      </c>
      <c r="O17" s="156">
        <f t="shared" si="5"/>
        <v>359.0496</v>
      </c>
      <c r="P17" s="156">
        <v>72.36621</v>
      </c>
      <c r="Q17" s="156">
        <f t="shared" si="3"/>
        <v>286.68339000000003</v>
      </c>
      <c r="R17" s="156" t="e">
        <f>(J17*100000)/#REF!</f>
        <v>#REF!</v>
      </c>
      <c r="S17" s="156">
        <v>4.1991</v>
      </c>
      <c r="T17" s="158">
        <f t="shared" si="4"/>
        <v>0.93018</v>
      </c>
    </row>
    <row r="18" spans="1:20" s="148" customFormat="1" ht="15.75">
      <c r="A18" s="178">
        <v>8</v>
      </c>
      <c r="B18" s="179" t="s">
        <v>6</v>
      </c>
      <c r="C18" s="180">
        <v>11467</v>
      </c>
      <c r="D18" s="181">
        <v>1.56196</v>
      </c>
      <c r="E18" s="180">
        <v>11837</v>
      </c>
      <c r="F18" s="181">
        <v>1.50905</v>
      </c>
      <c r="G18" s="180">
        <v>11013</v>
      </c>
      <c r="H18" s="202">
        <v>1.40545</v>
      </c>
      <c r="I18" s="153">
        <f aca="true" t="shared" si="6" ref="I18:I23">C18+E18+G18</f>
        <v>34317</v>
      </c>
      <c r="J18" s="152">
        <f aca="true" t="shared" si="7" ref="J18:J23">D18+F18+H18</f>
        <v>4.47646</v>
      </c>
      <c r="K18" s="154">
        <f t="shared" si="2"/>
        <v>13.044438616429177</v>
      </c>
      <c r="L18" s="182">
        <v>114114</v>
      </c>
      <c r="M18" s="182">
        <v>2546</v>
      </c>
      <c r="N18" s="182">
        <v>105</v>
      </c>
      <c r="O18" s="156">
        <f t="shared" si="5"/>
        <v>313.35220000000004</v>
      </c>
      <c r="P18" s="148">
        <v>89.05026</v>
      </c>
      <c r="Q18" s="191">
        <f t="shared" si="3"/>
        <v>224.30194000000006</v>
      </c>
      <c r="R18" s="156" t="e">
        <f>(J18*100000)/#REF!</f>
        <v>#REF!</v>
      </c>
      <c r="S18" s="148">
        <v>3.88902</v>
      </c>
      <c r="T18" s="158">
        <f t="shared" si="4"/>
        <v>0.5874400000000004</v>
      </c>
    </row>
    <row r="19" spans="1:20" s="156" customFormat="1" ht="15">
      <c r="A19" s="149">
        <v>9</v>
      </c>
      <c r="B19" s="188" t="s">
        <v>7</v>
      </c>
      <c r="C19" s="151">
        <v>4641</v>
      </c>
      <c r="D19" s="152">
        <v>1.031745</v>
      </c>
      <c r="E19" s="151">
        <v>5720</v>
      </c>
      <c r="F19" s="186">
        <v>1.3936</v>
      </c>
      <c r="G19" s="189">
        <v>4549</v>
      </c>
      <c r="H19" s="186">
        <v>1.17513</v>
      </c>
      <c r="I19" s="153">
        <f t="shared" si="6"/>
        <v>14910</v>
      </c>
      <c r="J19" s="152">
        <f t="shared" si="7"/>
        <v>3.6004750000000003</v>
      </c>
      <c r="K19" s="154">
        <f t="shared" si="2"/>
        <v>24.14805499664655</v>
      </c>
      <c r="L19" s="151">
        <v>159581</v>
      </c>
      <c r="M19" s="151">
        <v>1558</v>
      </c>
      <c r="N19" s="155">
        <v>197</v>
      </c>
      <c r="O19" s="156">
        <f t="shared" si="5"/>
        <v>252.03325</v>
      </c>
      <c r="P19" s="156">
        <v>43.51732</v>
      </c>
      <c r="Q19" s="156">
        <f t="shared" si="3"/>
        <v>208.51593000000003</v>
      </c>
      <c r="R19" s="156" t="e">
        <f>(J19*100000)/#REF!</f>
        <v>#REF!</v>
      </c>
      <c r="S19" s="156">
        <v>2.38565</v>
      </c>
      <c r="T19" s="158">
        <f t="shared" si="4"/>
        <v>1.2148250000000003</v>
      </c>
    </row>
    <row r="20" spans="1:20" s="156" customFormat="1" ht="15.75">
      <c r="A20" s="149">
        <v>10</v>
      </c>
      <c r="B20" s="150" t="s">
        <v>0</v>
      </c>
      <c r="C20" s="151">
        <v>29095</v>
      </c>
      <c r="D20" s="152">
        <v>4.554150000000001</v>
      </c>
      <c r="E20" s="151">
        <v>510</v>
      </c>
      <c r="F20" s="152">
        <v>0.1462</v>
      </c>
      <c r="G20" s="151">
        <v>7737</v>
      </c>
      <c r="H20" s="186">
        <v>1.24624</v>
      </c>
      <c r="I20" s="153">
        <f t="shared" si="6"/>
        <v>37342</v>
      </c>
      <c r="J20" s="152">
        <f>D20+F20+H20</f>
        <v>5.946590000000001</v>
      </c>
      <c r="K20" s="154">
        <f t="shared" si="2"/>
        <v>15.924669273204438</v>
      </c>
      <c r="L20" s="151">
        <v>128667</v>
      </c>
      <c r="M20" s="151">
        <v>6332</v>
      </c>
      <c r="N20" s="155">
        <v>530</v>
      </c>
      <c r="O20" s="156">
        <f t="shared" si="5"/>
        <v>416.2613000000001</v>
      </c>
      <c r="P20" s="156">
        <v>73.95239</v>
      </c>
      <c r="Q20" s="191">
        <f t="shared" si="3"/>
        <v>342.30891000000014</v>
      </c>
      <c r="R20" s="156" t="e">
        <f>(J20*100000)/#REF!</f>
        <v>#REF!</v>
      </c>
      <c r="S20" s="156">
        <v>3.28821</v>
      </c>
      <c r="T20" s="158">
        <f t="shared" si="4"/>
        <v>2.6583800000000015</v>
      </c>
    </row>
    <row r="21" spans="1:20" s="156" customFormat="1" ht="15.75">
      <c r="A21" s="149">
        <v>11</v>
      </c>
      <c r="B21" s="150" t="s">
        <v>8</v>
      </c>
      <c r="C21" s="151">
        <v>2532</v>
      </c>
      <c r="D21" s="152">
        <v>0.50323</v>
      </c>
      <c r="E21" s="151">
        <v>7579</v>
      </c>
      <c r="F21" s="152">
        <v>1.48061</v>
      </c>
      <c r="G21" s="151">
        <v>3856</v>
      </c>
      <c r="H21" s="186">
        <v>0.68067</v>
      </c>
      <c r="I21" s="153">
        <f t="shared" si="6"/>
        <v>13967</v>
      </c>
      <c r="J21" s="152">
        <f t="shared" si="7"/>
        <v>2.66451</v>
      </c>
      <c r="K21" s="154">
        <f t="shared" si="2"/>
        <v>19.077181928832246</v>
      </c>
      <c r="L21" s="189">
        <v>53747</v>
      </c>
      <c r="M21" s="155">
        <v>477</v>
      </c>
      <c r="N21" s="155">
        <v>1</v>
      </c>
      <c r="O21" s="156">
        <f t="shared" si="5"/>
        <v>186.51569999999998</v>
      </c>
      <c r="P21" s="156">
        <v>39.10984</v>
      </c>
      <c r="Q21" s="191">
        <f t="shared" si="3"/>
        <v>147.40586</v>
      </c>
      <c r="R21" s="156" t="e">
        <f>(J21*100000)/#REF!</f>
        <v>#REF!</v>
      </c>
      <c r="S21" s="156">
        <v>2.08467</v>
      </c>
      <c r="T21" s="158">
        <f t="shared" si="4"/>
        <v>0.5798399999999999</v>
      </c>
    </row>
    <row r="22" spans="1:20" s="156" customFormat="1" ht="15">
      <c r="A22" s="149">
        <v>12</v>
      </c>
      <c r="B22" s="150" t="s">
        <v>4</v>
      </c>
      <c r="C22" s="151">
        <f>15169+113</f>
        <v>15282</v>
      </c>
      <c r="D22" s="152">
        <f>2.53756+0.02882</f>
        <v>2.56638</v>
      </c>
      <c r="E22" s="151">
        <f>1827+1097</f>
        <v>2924</v>
      </c>
      <c r="F22" s="152">
        <f>0.19587+0.30424</f>
        <v>0.50011</v>
      </c>
      <c r="G22" s="151">
        <f>8728+23</f>
        <v>8751</v>
      </c>
      <c r="H22" s="152">
        <f>1.46456+0.00894</f>
        <v>1.4735</v>
      </c>
      <c r="I22" s="153">
        <f t="shared" si="6"/>
        <v>26957</v>
      </c>
      <c r="J22" s="152">
        <f t="shared" si="7"/>
        <v>4.5399899999999995</v>
      </c>
      <c r="K22" s="154">
        <f t="shared" si="2"/>
        <v>16.841599584523497</v>
      </c>
      <c r="L22" s="151">
        <f>133277+12056</f>
        <v>145333</v>
      </c>
      <c r="M22" s="151">
        <v>4235</v>
      </c>
      <c r="N22" s="155">
        <v>143</v>
      </c>
      <c r="O22" s="156">
        <f t="shared" si="5"/>
        <v>317.79929999999996</v>
      </c>
      <c r="P22" s="156">
        <v>99.67648</v>
      </c>
      <c r="Q22" s="156">
        <f t="shared" si="3"/>
        <v>218.12281999999996</v>
      </c>
      <c r="R22" s="156" t="e">
        <f>(J22*100000)/#REF!</f>
        <v>#REF!</v>
      </c>
      <c r="S22" s="156">
        <v>3.01545</v>
      </c>
      <c r="T22" s="158">
        <f t="shared" si="4"/>
        <v>1.5245399999999996</v>
      </c>
    </row>
    <row r="23" spans="1:20" s="156" customFormat="1" ht="15">
      <c r="A23" s="149">
        <v>13</v>
      </c>
      <c r="B23" s="150" t="s">
        <v>3</v>
      </c>
      <c r="C23" s="151">
        <v>27249</v>
      </c>
      <c r="D23" s="152">
        <v>5.88747</v>
      </c>
      <c r="E23" s="151">
        <v>2915</v>
      </c>
      <c r="F23" s="152">
        <v>0.64913</v>
      </c>
      <c r="G23" s="151">
        <v>10093</v>
      </c>
      <c r="H23" s="152">
        <v>1.09047</v>
      </c>
      <c r="I23" s="153">
        <f t="shared" si="6"/>
        <v>40257</v>
      </c>
      <c r="J23" s="152">
        <f t="shared" si="7"/>
        <v>7.62707</v>
      </c>
      <c r="K23" s="154">
        <f t="shared" si="2"/>
        <v>18.945947288670293</v>
      </c>
      <c r="L23" s="151">
        <v>113420</v>
      </c>
      <c r="M23" s="151">
        <v>3057</v>
      </c>
      <c r="N23" s="155">
        <v>300</v>
      </c>
      <c r="O23" s="156">
        <f t="shared" si="5"/>
        <v>533.8949</v>
      </c>
      <c r="P23" s="156">
        <v>62.81709</v>
      </c>
      <c r="Q23" s="157">
        <f t="shared" si="3"/>
        <v>471.07781</v>
      </c>
      <c r="R23" s="156" t="e">
        <f>(J23*100000)/#REF!</f>
        <v>#REF!</v>
      </c>
      <c r="S23" s="156">
        <v>3.71886</v>
      </c>
      <c r="T23" s="158">
        <f t="shared" si="4"/>
        <v>3.90821</v>
      </c>
    </row>
    <row r="24" spans="1:18" ht="19.5" customHeight="1">
      <c r="A24" s="16"/>
      <c r="B24" s="17" t="s">
        <v>14</v>
      </c>
      <c r="C24" s="98">
        <f aca="true" t="shared" si="8" ref="C24:N24">SUM(C11:C23)</f>
        <v>177397.45</v>
      </c>
      <c r="D24" s="99">
        <f t="shared" si="8"/>
        <v>29.474921746033907</v>
      </c>
      <c r="E24" s="98">
        <f t="shared" si="8"/>
        <v>99873.13</v>
      </c>
      <c r="F24" s="99">
        <f t="shared" si="8"/>
        <v>17.777355458230154</v>
      </c>
      <c r="G24" s="98">
        <f t="shared" si="8"/>
        <v>107565.42</v>
      </c>
      <c r="H24" s="99">
        <f t="shared" si="8"/>
        <v>17.909739558998805</v>
      </c>
      <c r="I24" s="98">
        <f>SUM(I11:I23)</f>
        <v>384836</v>
      </c>
      <c r="J24" s="100">
        <f>SUM(J11:J23)</f>
        <v>65.16201676326288</v>
      </c>
      <c r="K24" s="135">
        <f t="shared" si="2"/>
        <v>16.932411926967042</v>
      </c>
      <c r="L24" s="98">
        <f t="shared" si="8"/>
        <v>1763197.1815815717</v>
      </c>
      <c r="M24" s="98">
        <f>SUM(M11:M23)</f>
        <v>45225.26634234145</v>
      </c>
      <c r="N24" s="101">
        <f t="shared" si="8"/>
        <v>5486.007263262868</v>
      </c>
      <c r="O24" s="1">
        <f>J24*68</f>
        <v>4431.017139901876</v>
      </c>
      <c r="Q24" s="2">
        <f>SUM(Q11:Q23)</f>
        <v>3545.4395034284016</v>
      </c>
      <c r="R24" s="1" t="e">
        <f>(J24*100000)/#REF!</f>
        <v>#REF!</v>
      </c>
    </row>
    <row r="25" spans="1:15" ht="13.5">
      <c r="A25" s="12"/>
      <c r="B25" s="9"/>
      <c r="C25" s="136"/>
      <c r="D25" s="12"/>
      <c r="E25" s="136"/>
      <c r="F25" s="12"/>
      <c r="G25" s="136"/>
      <c r="H25" s="12"/>
      <c r="I25" s="12"/>
      <c r="J25" s="12"/>
      <c r="K25" s="12"/>
      <c r="L25" s="12"/>
      <c r="M25" s="12"/>
      <c r="N25" s="12"/>
      <c r="O25" s="1">
        <f>J25*68</f>
        <v>0</v>
      </c>
    </row>
    <row r="26" spans="1:14" ht="13.5">
      <c r="A26" s="12"/>
      <c r="B26" s="61" t="s">
        <v>80</v>
      </c>
      <c r="C26" s="62"/>
      <c r="D26" s="63"/>
      <c r="E26" s="59"/>
      <c r="F26" s="57"/>
      <c r="G26" s="56"/>
      <c r="H26" s="48"/>
      <c r="I26" s="50"/>
      <c r="J26" s="50"/>
      <c r="K26" s="50"/>
      <c r="L26" s="12"/>
      <c r="M26" s="33"/>
      <c r="N26" s="12"/>
    </row>
    <row r="27" spans="1:14" ht="12.75" customHeight="1">
      <c r="A27" s="12"/>
      <c r="B27" s="9"/>
      <c r="C27" s="49"/>
      <c r="D27" s="51"/>
      <c r="E27" s="49"/>
      <c r="F27" s="51"/>
      <c r="G27" s="49"/>
      <c r="H27" s="56"/>
      <c r="I27" s="49"/>
      <c r="J27" s="49"/>
      <c r="K27" s="49"/>
      <c r="L27" s="12"/>
      <c r="M27" s="12"/>
      <c r="N27" s="12"/>
    </row>
    <row r="28" spans="1:14" ht="15">
      <c r="A28" s="12"/>
      <c r="B28" s="9"/>
      <c r="C28" s="12"/>
      <c r="D28" s="12"/>
      <c r="E28" s="12"/>
      <c r="F28" s="12"/>
      <c r="G28" s="12"/>
      <c r="H28" s="12"/>
      <c r="I28" s="12"/>
      <c r="J28" s="12"/>
      <c r="K28" s="12"/>
      <c r="L28" s="104"/>
      <c r="M28" s="104"/>
      <c r="N28" s="104"/>
    </row>
  </sheetData>
  <mergeCells count="13">
    <mergeCell ref="I8:J8"/>
    <mergeCell ref="L8:L9"/>
    <mergeCell ref="G8:H8"/>
    <mergeCell ref="A7:A9"/>
    <mergeCell ref="A1:N1"/>
    <mergeCell ref="A4:N4"/>
    <mergeCell ref="B7:B9"/>
    <mergeCell ref="C7:N7"/>
    <mergeCell ref="M8:M9"/>
    <mergeCell ref="N8:N9"/>
    <mergeCell ref="A2:N2"/>
    <mergeCell ref="E8:F8"/>
    <mergeCell ref="C8:D8"/>
  </mergeCells>
  <printOptions horizontalCentered="1"/>
  <pageMargins left="0.5" right="0.25" top="0.75" bottom="0.75" header="0.5" footer="0.5"/>
  <pageSetup horizontalDpi="600" verticalDpi="600" orientation="landscape" paperSize="9" r:id="rId1"/>
  <headerFooter alignWithMargins="0">
    <oddHeader>&amp;RPart-II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="70" zoomScaleNormal="70" zoomScaleSheetLayoutView="70" workbookViewId="0" topLeftCell="A1">
      <pane xSplit="3" ySplit="11" topLeftCell="I1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Q30" sqref="Q30"/>
    </sheetView>
  </sheetViews>
  <sheetFormatPr defaultColWidth="9.140625" defaultRowHeight="12.75"/>
  <cols>
    <col min="1" max="1" width="4.57421875" style="1" customWidth="1"/>
    <col min="2" max="2" width="17.7109375" style="2" customWidth="1"/>
    <col min="3" max="3" width="11.7109375" style="1" hidden="1" customWidth="1"/>
    <col min="4" max="4" width="12.421875" style="1" customWidth="1"/>
    <col min="5" max="5" width="12.7109375" style="3" customWidth="1"/>
    <col min="6" max="6" width="11.00390625" style="1" customWidth="1"/>
    <col min="7" max="12" width="11.7109375" style="1" customWidth="1"/>
    <col min="13" max="13" width="13.00390625" style="1" customWidth="1"/>
    <col min="14" max="14" width="11.8515625" style="1" customWidth="1"/>
    <col min="15" max="15" width="11.00390625" style="1" customWidth="1"/>
    <col min="16" max="16" width="13.8515625" style="1" customWidth="1"/>
    <col min="17" max="17" width="13.7109375" style="1" customWidth="1"/>
    <col min="18" max="18" width="0.13671875" style="1" hidden="1" customWidth="1"/>
    <col min="19" max="19" width="13.140625" style="1" customWidth="1"/>
    <col min="20" max="20" width="12.00390625" style="1" customWidth="1"/>
    <col min="21" max="21" width="11.7109375" style="1" bestFit="1" customWidth="1"/>
    <col min="22" max="22" width="11.421875" style="1" bestFit="1" customWidth="1"/>
    <col min="23" max="23" width="9.140625" style="1" customWidth="1"/>
    <col min="24" max="24" width="9.7109375" style="1" customWidth="1"/>
    <col min="25" max="16384" width="9.140625" style="1" customWidth="1"/>
  </cols>
  <sheetData>
    <row r="1" spans="1:20" ht="16.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27"/>
      <c r="Q1" s="227"/>
      <c r="R1" s="5"/>
      <c r="S1" s="5"/>
      <c r="T1" s="5"/>
    </row>
    <row r="2" spans="1:17" ht="31.5" customHeight="1">
      <c r="A2" s="206" t="s">
        <v>41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7.25" customHeight="1">
      <c r="A4" s="228" t="s">
        <v>19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</row>
    <row r="5" spans="1:17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6"/>
    </row>
    <row r="6" spans="1:20" ht="20.25" customHeight="1">
      <c r="A6" s="210" t="s">
        <v>90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T6" s="1">
        <f>3.23987-1.35098</f>
        <v>1.8888899999999997</v>
      </c>
    </row>
    <row r="7" spans="1:17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20" s="12" customFormat="1" ht="15.75">
      <c r="A8" s="8" t="s">
        <v>16</v>
      </c>
      <c r="C8" s="10"/>
      <c r="D8" s="10"/>
      <c r="E8" s="11"/>
      <c r="F8" s="10"/>
      <c r="G8" s="10"/>
      <c r="H8" s="10"/>
      <c r="I8" s="10"/>
      <c r="J8" s="10"/>
      <c r="K8" s="10"/>
      <c r="L8" s="10"/>
      <c r="M8" s="10"/>
      <c r="N8" s="37"/>
      <c r="O8" s="10"/>
      <c r="P8" s="10"/>
      <c r="Q8" s="19" t="s">
        <v>30</v>
      </c>
      <c r="R8" s="10"/>
      <c r="S8" s="10"/>
      <c r="T8" s="10"/>
    </row>
    <row r="9" spans="1:20" s="22" customFormat="1" ht="43.5" customHeight="1">
      <c r="A9" s="211" t="s">
        <v>17</v>
      </c>
      <c r="B9" s="211" t="s">
        <v>2</v>
      </c>
      <c r="C9" s="21" t="s">
        <v>15</v>
      </c>
      <c r="D9" s="211" t="s">
        <v>78</v>
      </c>
      <c r="E9" s="226" t="s">
        <v>35</v>
      </c>
      <c r="F9" s="226"/>
      <c r="G9" s="226" t="s">
        <v>39</v>
      </c>
      <c r="H9" s="226"/>
      <c r="I9" s="226" t="s">
        <v>40</v>
      </c>
      <c r="J9" s="226"/>
      <c r="K9" s="211" t="s">
        <v>23</v>
      </c>
      <c r="L9" s="211" t="s">
        <v>31</v>
      </c>
      <c r="M9" s="205" t="s">
        <v>24</v>
      </c>
      <c r="N9" s="205"/>
      <c r="O9" s="205"/>
      <c r="P9" s="205"/>
      <c r="Q9" s="205"/>
      <c r="R9" s="205"/>
      <c r="S9" s="205"/>
      <c r="T9" s="130"/>
    </row>
    <row r="10" spans="1:20" s="22" customFormat="1" ht="57.75" customHeight="1">
      <c r="A10" s="211"/>
      <c r="B10" s="211"/>
      <c r="C10" s="21"/>
      <c r="D10" s="211"/>
      <c r="E10" s="94" t="s">
        <v>21</v>
      </c>
      <c r="F10" s="94" t="s">
        <v>22</v>
      </c>
      <c r="G10" s="94" t="s">
        <v>21</v>
      </c>
      <c r="H10" s="94" t="s">
        <v>22</v>
      </c>
      <c r="I10" s="94" t="s">
        <v>21</v>
      </c>
      <c r="J10" s="94" t="s">
        <v>22</v>
      </c>
      <c r="K10" s="211"/>
      <c r="L10" s="211"/>
      <c r="M10" s="26" t="s">
        <v>25</v>
      </c>
      <c r="N10" s="26" t="s">
        <v>26</v>
      </c>
      <c r="O10" s="26" t="s">
        <v>34</v>
      </c>
      <c r="P10" s="26" t="s">
        <v>27</v>
      </c>
      <c r="Q10" s="27" t="s">
        <v>32</v>
      </c>
      <c r="R10" s="23"/>
      <c r="S10" s="23"/>
      <c r="T10" s="131"/>
    </row>
    <row r="11" spans="1:23" s="12" customFormat="1" ht="12.75">
      <c r="A11" s="13"/>
      <c r="B11" s="55">
        <v>1</v>
      </c>
      <c r="C11" s="14"/>
      <c r="D11" s="14">
        <v>2</v>
      </c>
      <c r="E11" s="95">
        <v>3</v>
      </c>
      <c r="F11" s="96">
        <v>4</v>
      </c>
      <c r="G11" s="95">
        <v>5</v>
      </c>
      <c r="H11" s="96">
        <v>6</v>
      </c>
      <c r="I11" s="95">
        <v>5</v>
      </c>
      <c r="J11" s="96">
        <v>6</v>
      </c>
      <c r="K11" s="55">
        <v>7</v>
      </c>
      <c r="L11" s="14">
        <v>8</v>
      </c>
      <c r="M11" s="55">
        <v>9</v>
      </c>
      <c r="N11" s="14">
        <v>10</v>
      </c>
      <c r="O11" s="55">
        <v>11</v>
      </c>
      <c r="P11" s="14">
        <v>12</v>
      </c>
      <c r="Q11" s="55">
        <v>13</v>
      </c>
      <c r="R11" s="16"/>
      <c r="S11" s="16"/>
      <c r="T11" s="132"/>
      <c r="U11" s="33">
        <f>M21/68</f>
        <v>6.368241764705883</v>
      </c>
      <c r="V11" s="33"/>
      <c r="W11" s="33"/>
    </row>
    <row r="12" spans="1:24" s="166" customFormat="1" ht="15">
      <c r="A12" s="149">
        <v>1</v>
      </c>
      <c r="B12" s="150" t="s">
        <v>12</v>
      </c>
      <c r="C12" s="159">
        <v>2912</v>
      </c>
      <c r="D12" s="152">
        <v>37.28329</v>
      </c>
      <c r="E12" s="160"/>
      <c r="F12" s="160"/>
      <c r="G12" s="161"/>
      <c r="H12" s="160"/>
      <c r="I12" s="161">
        <v>236.70378</v>
      </c>
      <c r="J12" s="160"/>
      <c r="K12" s="152">
        <v>5.0024083</v>
      </c>
      <c r="L12" s="152">
        <f>SUM(D12:K12)</f>
        <v>278.98947830000003</v>
      </c>
      <c r="M12" s="152">
        <v>276.5093</v>
      </c>
      <c r="N12" s="152">
        <v>10.218135</v>
      </c>
      <c r="O12" s="152">
        <v>51.28101</v>
      </c>
      <c r="P12" s="152">
        <v>6.43724</v>
      </c>
      <c r="Q12" s="152">
        <f aca="true" t="shared" si="0" ref="Q12:Q24">SUM(M12:P12)</f>
        <v>344.44568499999997</v>
      </c>
      <c r="R12" s="162"/>
      <c r="S12" s="162">
        <v>257.65768</v>
      </c>
      <c r="T12" s="163">
        <f>Q12-S12</f>
        <v>86.78800499999994</v>
      </c>
      <c r="U12" s="164"/>
      <c r="V12" s="165"/>
      <c r="W12" s="166">
        <v>127.23206</v>
      </c>
      <c r="X12" s="167">
        <f>Q12-W12</f>
        <v>217.21362499999998</v>
      </c>
    </row>
    <row r="13" spans="1:24" s="166" customFormat="1" ht="15">
      <c r="A13" s="178">
        <v>2</v>
      </c>
      <c r="B13" s="179" t="s">
        <v>13</v>
      </c>
      <c r="C13" s="184">
        <v>4447</v>
      </c>
      <c r="D13" s="181">
        <v>101.55124</v>
      </c>
      <c r="E13" s="160">
        <v>6.85115</v>
      </c>
      <c r="F13" s="160"/>
      <c r="G13" s="161"/>
      <c r="H13" s="160"/>
      <c r="I13" s="161">
        <f>180.11018+0.90267</f>
        <v>181.01285000000001</v>
      </c>
      <c r="J13" s="160"/>
      <c r="K13" s="181">
        <v>0.7076511</v>
      </c>
      <c r="L13" s="181">
        <f>SUM(D13:K13)</f>
        <v>290.12289110000006</v>
      </c>
      <c r="M13" s="181">
        <v>285.05321</v>
      </c>
      <c r="N13" s="181">
        <v>8.3139401</v>
      </c>
      <c r="O13" s="181">
        <v>134.39955</v>
      </c>
      <c r="P13" s="181">
        <v>2.83121</v>
      </c>
      <c r="Q13" s="181">
        <f t="shared" si="0"/>
        <v>430.5979101</v>
      </c>
      <c r="R13" s="162"/>
      <c r="S13" s="162">
        <v>291.20856</v>
      </c>
      <c r="T13" s="163">
        <f aca="true" t="shared" si="1" ref="T13:T24">Q13-S13</f>
        <v>139.3893501</v>
      </c>
      <c r="U13" s="164"/>
      <c r="V13" s="165"/>
      <c r="W13" s="166">
        <v>124.32488000000001</v>
      </c>
      <c r="X13" s="167">
        <f aca="true" t="shared" si="2" ref="X13:X24">Q13-W13</f>
        <v>306.27303009999997</v>
      </c>
    </row>
    <row r="14" spans="1:24" s="166" customFormat="1" ht="15">
      <c r="A14" s="149">
        <v>3</v>
      </c>
      <c r="B14" s="150" t="s">
        <v>5</v>
      </c>
      <c r="C14" s="159">
        <v>2895</v>
      </c>
      <c r="D14" s="152">
        <v>102.12839580000008</v>
      </c>
      <c r="E14" s="160"/>
      <c r="F14" s="160"/>
      <c r="G14" s="161"/>
      <c r="H14" s="160"/>
      <c r="I14" s="161">
        <v>341.99351</v>
      </c>
      <c r="J14" s="160"/>
      <c r="K14" s="152">
        <v>1.36576</v>
      </c>
      <c r="L14" s="152">
        <f>SUM(D14:K14)</f>
        <v>445.4876658000001</v>
      </c>
      <c r="M14" s="152">
        <v>687.22381</v>
      </c>
      <c r="N14" s="152">
        <v>18.2017</v>
      </c>
      <c r="O14" s="152">
        <v>266.95698</v>
      </c>
      <c r="P14" s="152">
        <v>5.04971</v>
      </c>
      <c r="Q14" s="152">
        <f t="shared" si="0"/>
        <v>977.4322</v>
      </c>
      <c r="R14" s="162"/>
      <c r="S14" s="162">
        <v>730.3931</v>
      </c>
      <c r="T14" s="163">
        <f t="shared" si="1"/>
        <v>247.03909999999996</v>
      </c>
      <c r="U14" s="164"/>
      <c r="V14" s="186"/>
      <c r="W14" s="166">
        <v>220.21329</v>
      </c>
      <c r="X14" s="167">
        <f t="shared" si="2"/>
        <v>757.2189099999999</v>
      </c>
    </row>
    <row r="15" spans="1:24" s="166" customFormat="1" ht="15">
      <c r="A15" s="149">
        <v>4</v>
      </c>
      <c r="B15" s="150" t="s">
        <v>9</v>
      </c>
      <c r="C15" s="159">
        <v>4593</v>
      </c>
      <c r="D15" s="152">
        <v>35.84043</v>
      </c>
      <c r="E15" s="160">
        <v>5.08212</v>
      </c>
      <c r="F15" s="160"/>
      <c r="G15" s="161"/>
      <c r="H15" s="160"/>
      <c r="I15" s="161">
        <v>266.17738</v>
      </c>
      <c r="J15" s="160">
        <v>2.15792</v>
      </c>
      <c r="K15" s="152">
        <v>0.85715</v>
      </c>
      <c r="L15" s="152">
        <f>SUM(D15:K15)</f>
        <v>310.115</v>
      </c>
      <c r="M15" s="152">
        <v>297.46391</v>
      </c>
      <c r="N15" s="152">
        <v>10.30262</v>
      </c>
      <c r="O15" s="152">
        <v>120.92474</v>
      </c>
      <c r="P15" s="152">
        <v>1.44328</v>
      </c>
      <c r="Q15" s="152">
        <f t="shared" si="0"/>
        <v>430.13455</v>
      </c>
      <c r="R15" s="162"/>
      <c r="S15" s="162">
        <v>301.59863</v>
      </c>
      <c r="T15" s="163">
        <f t="shared" si="1"/>
        <v>128.53591999999998</v>
      </c>
      <c r="U15" s="164"/>
      <c r="V15" s="165"/>
      <c r="W15" s="166">
        <v>164.28291</v>
      </c>
      <c r="X15" s="167">
        <f t="shared" si="2"/>
        <v>265.85164</v>
      </c>
    </row>
    <row r="16" spans="1:24" s="166" customFormat="1" ht="15.75" customHeight="1">
      <c r="A16" s="149">
        <v>5</v>
      </c>
      <c r="B16" s="150" t="s">
        <v>11</v>
      </c>
      <c r="C16" s="159">
        <v>2539</v>
      </c>
      <c r="D16" s="152">
        <v>116.91743500000001</v>
      </c>
      <c r="E16" s="160"/>
      <c r="F16" s="160"/>
      <c r="G16" s="161"/>
      <c r="H16" s="160"/>
      <c r="I16" s="161">
        <v>310.28278</v>
      </c>
      <c r="J16" s="160">
        <v>8.08</v>
      </c>
      <c r="K16" s="152">
        <v>1.1639359</v>
      </c>
      <c r="L16" s="152">
        <f>SUM(D16:K16)</f>
        <v>436.4441509</v>
      </c>
      <c r="M16" s="152">
        <v>420.17904</v>
      </c>
      <c r="N16" s="152">
        <v>23.291355</v>
      </c>
      <c r="O16" s="152">
        <v>100.85449</v>
      </c>
      <c r="P16" s="152">
        <v>6.562805</v>
      </c>
      <c r="Q16" s="152">
        <f t="shared" si="0"/>
        <v>550.88769</v>
      </c>
      <c r="R16" s="162"/>
      <c r="S16" s="162">
        <v>369.87331</v>
      </c>
      <c r="T16" s="163">
        <f t="shared" si="1"/>
        <v>181.01438000000002</v>
      </c>
      <c r="U16" s="164"/>
      <c r="V16" s="165"/>
      <c r="W16" s="166">
        <v>204.82497</v>
      </c>
      <c r="X16" s="167">
        <f t="shared" si="2"/>
        <v>346.06272</v>
      </c>
    </row>
    <row r="17" spans="1:24" s="166" customFormat="1" ht="15">
      <c r="A17" s="149">
        <v>6</v>
      </c>
      <c r="B17" s="150" t="s">
        <v>1</v>
      </c>
      <c r="C17" s="159">
        <v>3620</v>
      </c>
      <c r="D17" s="152">
        <v>75.9799048</v>
      </c>
      <c r="E17" s="160">
        <v>35.766</v>
      </c>
      <c r="F17" s="160"/>
      <c r="G17" s="161"/>
      <c r="H17" s="160"/>
      <c r="I17" s="161">
        <f>170.84768+2.9046</f>
        <v>173.75227999999998</v>
      </c>
      <c r="J17" s="160"/>
      <c r="K17" s="152">
        <v>0.89414</v>
      </c>
      <c r="L17" s="152">
        <v>229.4868259</v>
      </c>
      <c r="M17" s="152">
        <v>336.32906</v>
      </c>
      <c r="N17" s="152">
        <v>14.77002</v>
      </c>
      <c r="O17" s="152">
        <v>86.24048</v>
      </c>
      <c r="P17" s="152">
        <v>12.69951</v>
      </c>
      <c r="Q17" s="152">
        <f t="shared" si="0"/>
        <v>450.03907</v>
      </c>
      <c r="R17" s="162"/>
      <c r="S17" s="162">
        <v>304.03598</v>
      </c>
      <c r="T17" s="163">
        <f t="shared" si="1"/>
        <v>146.00309</v>
      </c>
      <c r="U17" s="164"/>
      <c r="V17" s="165"/>
      <c r="W17" s="166">
        <v>107.55945</v>
      </c>
      <c r="X17" s="167">
        <f t="shared" si="2"/>
        <v>342.47961999999995</v>
      </c>
    </row>
    <row r="18" spans="1:24" s="166" customFormat="1" ht="15">
      <c r="A18" s="149">
        <v>7</v>
      </c>
      <c r="B18" s="150" t="s">
        <v>10</v>
      </c>
      <c r="C18" s="159">
        <v>3872</v>
      </c>
      <c r="D18" s="152">
        <v>75.54324</v>
      </c>
      <c r="E18" s="160">
        <v>137.61922</v>
      </c>
      <c r="F18" s="160">
        <v>0</v>
      </c>
      <c r="G18" s="161"/>
      <c r="H18" s="160"/>
      <c r="I18" s="161">
        <v>160.22317</v>
      </c>
      <c r="J18" s="160">
        <v>0</v>
      </c>
      <c r="K18" s="152">
        <v>2.63765</v>
      </c>
      <c r="L18" s="152">
        <f>SUM(D18:K18)</f>
        <v>376.02328</v>
      </c>
      <c r="M18" s="152">
        <v>361.88289</v>
      </c>
      <c r="N18" s="152">
        <v>15.3894</v>
      </c>
      <c r="O18" s="152">
        <v>176.48267</v>
      </c>
      <c r="P18" s="152">
        <v>11.45957</v>
      </c>
      <c r="Q18" s="152">
        <f t="shared" si="0"/>
        <v>565.21453</v>
      </c>
      <c r="R18" s="162"/>
      <c r="S18" s="162">
        <v>440.28478</v>
      </c>
      <c r="T18" s="163">
        <f t="shared" si="1"/>
        <v>124.92974999999996</v>
      </c>
      <c r="U18" s="164"/>
      <c r="V18" s="165"/>
      <c r="W18" s="166">
        <v>207.34817</v>
      </c>
      <c r="X18" s="167">
        <f t="shared" si="2"/>
        <v>357.86636</v>
      </c>
    </row>
    <row r="19" spans="1:24" s="166" customFormat="1" ht="15">
      <c r="A19" s="149">
        <v>8</v>
      </c>
      <c r="B19" s="150" t="s">
        <v>6</v>
      </c>
      <c r="C19" s="159">
        <v>3006</v>
      </c>
      <c r="D19" s="152">
        <v>143.3522289</v>
      </c>
      <c r="E19" s="160"/>
      <c r="F19" s="160">
        <v>1.63563</v>
      </c>
      <c r="G19" s="161"/>
      <c r="H19" s="160"/>
      <c r="I19" s="161"/>
      <c r="J19" s="160">
        <v>116.60887</v>
      </c>
      <c r="K19" s="152">
        <v>2.45812</v>
      </c>
      <c r="L19" s="152">
        <f>SUM(D19:K19)</f>
        <v>264.0548489</v>
      </c>
      <c r="M19" s="152">
        <f>332.98891+1.73067</f>
        <v>334.71957999999995</v>
      </c>
      <c r="N19" s="152">
        <v>12.945</v>
      </c>
      <c r="O19" s="152">
        <v>112.97341</v>
      </c>
      <c r="P19" s="152">
        <v>3.41967</v>
      </c>
      <c r="Q19" s="152">
        <f t="shared" si="0"/>
        <v>464.05765999999994</v>
      </c>
      <c r="R19" s="162"/>
      <c r="S19" s="162">
        <v>318.93185</v>
      </c>
      <c r="T19" s="163">
        <f t="shared" si="1"/>
        <v>145.12580999999994</v>
      </c>
      <c r="U19" s="164"/>
      <c r="V19" s="186"/>
      <c r="W19" s="166">
        <v>134.58468</v>
      </c>
      <c r="X19" s="167">
        <f t="shared" si="2"/>
        <v>329.47297999999995</v>
      </c>
    </row>
    <row r="20" spans="1:24" s="166" customFormat="1" ht="15">
      <c r="A20" s="149">
        <v>9</v>
      </c>
      <c r="B20" s="150" t="s">
        <v>7</v>
      </c>
      <c r="C20" s="159"/>
      <c r="D20" s="152">
        <v>45.2166414</v>
      </c>
      <c r="E20" s="160"/>
      <c r="F20" s="160"/>
      <c r="G20" s="161"/>
      <c r="H20" s="160"/>
      <c r="I20" s="161">
        <v>153.0621</v>
      </c>
      <c r="J20" s="160">
        <v>0</v>
      </c>
      <c r="K20" s="152">
        <v>4.35938</v>
      </c>
      <c r="L20" s="152">
        <f>SUM(D20:K20)</f>
        <v>202.6381214</v>
      </c>
      <c r="M20" s="152">
        <v>257.33991</v>
      </c>
      <c r="N20" s="152">
        <v>8.34426</v>
      </c>
      <c r="O20" s="152">
        <v>60.1474</v>
      </c>
      <c r="P20" s="152">
        <v>5.22749</v>
      </c>
      <c r="Q20" s="152">
        <f t="shared" si="0"/>
        <v>331.05906</v>
      </c>
      <c r="R20" s="162"/>
      <c r="S20" s="162">
        <v>233.14141</v>
      </c>
      <c r="T20" s="163">
        <f t="shared" si="1"/>
        <v>97.91764999999998</v>
      </c>
      <c r="U20" s="164"/>
      <c r="V20" s="165"/>
      <c r="W20" s="166">
        <v>101.6925</v>
      </c>
      <c r="X20" s="167">
        <f t="shared" si="2"/>
        <v>229.36656</v>
      </c>
    </row>
    <row r="21" spans="1:24" s="166" customFormat="1" ht="15">
      <c r="A21" s="149">
        <v>10</v>
      </c>
      <c r="B21" s="150" t="s">
        <v>0</v>
      </c>
      <c r="C21" s="159"/>
      <c r="D21" s="152">
        <v>147.47428</v>
      </c>
      <c r="E21" s="160">
        <v>25.99715</v>
      </c>
      <c r="F21" s="160"/>
      <c r="G21" s="161"/>
      <c r="H21" s="160"/>
      <c r="I21" s="161">
        <f>326.29011+2.27873</f>
        <v>328.56884</v>
      </c>
      <c r="J21" s="160"/>
      <c r="K21" s="152">
        <v>1.47539</v>
      </c>
      <c r="L21" s="152">
        <v>420.47337</v>
      </c>
      <c r="M21" s="152">
        <v>433.04044000000005</v>
      </c>
      <c r="N21" s="152">
        <v>14.68579</v>
      </c>
      <c r="O21" s="152">
        <v>207.53529999999998</v>
      </c>
      <c r="P21" s="152">
        <v>6.28976</v>
      </c>
      <c r="Q21" s="152">
        <f t="shared" si="0"/>
        <v>661.55129</v>
      </c>
      <c r="R21" s="162"/>
      <c r="S21" s="162">
        <v>439.3341500000002</v>
      </c>
      <c r="T21" s="163">
        <f t="shared" si="1"/>
        <v>222.2171399999998</v>
      </c>
      <c r="U21" s="164"/>
      <c r="V21" s="165"/>
      <c r="W21" s="166">
        <v>188.14838</v>
      </c>
      <c r="X21" s="167">
        <f t="shared" si="2"/>
        <v>473.40291</v>
      </c>
    </row>
    <row r="22" spans="1:24" s="166" customFormat="1" ht="15">
      <c r="A22" s="149">
        <v>11</v>
      </c>
      <c r="B22" s="150" t="s">
        <v>8</v>
      </c>
      <c r="C22" s="159"/>
      <c r="D22" s="152">
        <v>42.69767999999996</v>
      </c>
      <c r="E22" s="160"/>
      <c r="F22" s="160"/>
      <c r="G22" s="161"/>
      <c r="H22" s="160"/>
      <c r="I22" s="161"/>
      <c r="J22" s="160">
        <f>55.266+0.24816</f>
        <v>55.51416</v>
      </c>
      <c r="K22" s="152">
        <v>3.63661</v>
      </c>
      <c r="L22" s="152">
        <v>208.87834</v>
      </c>
      <c r="M22" s="152">
        <v>199.72342</v>
      </c>
      <c r="N22" s="152">
        <v>9.96275</v>
      </c>
      <c r="O22" s="152">
        <v>82.32955</v>
      </c>
      <c r="P22" s="152">
        <v>5.86408</v>
      </c>
      <c r="Q22" s="152">
        <f t="shared" si="0"/>
        <v>297.8798</v>
      </c>
      <c r="R22" s="162"/>
      <c r="S22" s="162">
        <v>236.11621</v>
      </c>
      <c r="T22" s="163">
        <f t="shared" si="1"/>
        <v>61.76358999999999</v>
      </c>
      <c r="U22" s="164"/>
      <c r="V22" s="165"/>
      <c r="W22" s="166">
        <v>115.3297</v>
      </c>
      <c r="X22" s="167">
        <f t="shared" si="2"/>
        <v>182.5501</v>
      </c>
    </row>
    <row r="23" spans="1:24" s="166" customFormat="1" ht="15">
      <c r="A23" s="149">
        <v>12</v>
      </c>
      <c r="B23" s="150" t="s">
        <v>4</v>
      </c>
      <c r="C23" s="159">
        <v>2781</v>
      </c>
      <c r="D23" s="152">
        <v>145.51899179999998</v>
      </c>
      <c r="E23" s="160">
        <v>7.21109</v>
      </c>
      <c r="F23" s="160"/>
      <c r="G23" s="161"/>
      <c r="H23" s="160"/>
      <c r="I23" s="161">
        <f>215.97988+0.86723</f>
        <v>216.84711000000001</v>
      </c>
      <c r="J23" s="160"/>
      <c r="K23" s="152">
        <f>0.96625+0.22531</f>
        <v>1.19156</v>
      </c>
      <c r="L23" s="152">
        <f>SUM(D23:K23)</f>
        <v>370.7687518</v>
      </c>
      <c r="M23" s="152">
        <f>306.32907+22.89282</f>
        <v>329.22189000000003</v>
      </c>
      <c r="N23" s="152">
        <f>9.38287+0.5916</f>
        <v>9.97447</v>
      </c>
      <c r="O23" s="152">
        <f>74.14174+3.74059</f>
        <v>77.88233</v>
      </c>
      <c r="P23" s="152">
        <f>1.28073+2.86398</f>
        <v>4.14471</v>
      </c>
      <c r="Q23" s="152">
        <f t="shared" si="0"/>
        <v>421.2234</v>
      </c>
      <c r="R23" s="162"/>
      <c r="S23" s="162">
        <v>289.78702</v>
      </c>
      <c r="T23" s="163">
        <f t="shared" si="1"/>
        <v>131.43638000000004</v>
      </c>
      <c r="U23" s="164"/>
      <c r="V23" s="165"/>
      <c r="W23" s="166">
        <v>135.013355</v>
      </c>
      <c r="X23" s="167">
        <f t="shared" si="2"/>
        <v>286.21004500000004</v>
      </c>
    </row>
    <row r="24" spans="1:24" s="166" customFormat="1" ht="15">
      <c r="A24" s="149">
        <v>13</v>
      </c>
      <c r="B24" s="150" t="s">
        <v>3</v>
      </c>
      <c r="C24" s="159">
        <v>3059</v>
      </c>
      <c r="D24" s="152">
        <v>157.89440249999996</v>
      </c>
      <c r="E24" s="160"/>
      <c r="F24" s="160"/>
      <c r="G24" s="161"/>
      <c r="H24" s="160"/>
      <c r="I24" s="161">
        <v>283.45657</v>
      </c>
      <c r="J24" s="160"/>
      <c r="K24" s="159">
        <v>2.28661</v>
      </c>
      <c r="L24" s="152">
        <f>SUM(D24:K24)</f>
        <v>443.63758249999995</v>
      </c>
      <c r="M24" s="152">
        <v>390.06425</v>
      </c>
      <c r="N24" s="152">
        <v>18.62357</v>
      </c>
      <c r="O24" s="152">
        <v>76.01307</v>
      </c>
      <c r="P24" s="152">
        <v>3.08691</v>
      </c>
      <c r="Q24" s="152">
        <f t="shared" si="0"/>
        <v>487.78779999999995</v>
      </c>
      <c r="R24" s="162"/>
      <c r="S24" s="162">
        <v>346.20981</v>
      </c>
      <c r="T24" s="163">
        <f t="shared" si="1"/>
        <v>141.57798999999994</v>
      </c>
      <c r="U24" s="164"/>
      <c r="V24" s="165"/>
      <c r="W24" s="166">
        <v>195.91609</v>
      </c>
      <c r="X24" s="167">
        <f t="shared" si="2"/>
        <v>291.87170999999995</v>
      </c>
    </row>
    <row r="25" spans="1:22" s="8" customFormat="1" ht="19.5" customHeight="1">
      <c r="A25" s="66"/>
      <c r="B25" s="67" t="s">
        <v>14</v>
      </c>
      <c r="C25" s="68">
        <f>SUM(C12:C24)</f>
        <v>33724</v>
      </c>
      <c r="D25" s="68">
        <f>SUM(D12:D24)</f>
        <v>1227.3981602</v>
      </c>
      <c r="E25" s="68">
        <f aca="true" t="shared" si="3" ref="E25:L25">SUM(E12:E24)</f>
        <v>218.52673000000001</v>
      </c>
      <c r="F25" s="68">
        <f t="shared" si="3"/>
        <v>1.63563</v>
      </c>
      <c r="G25" s="69">
        <f>SUM(G12:G24)</f>
        <v>0</v>
      </c>
      <c r="H25" s="69">
        <f>SUM(H12:H24)</f>
        <v>0</v>
      </c>
      <c r="I25" s="69">
        <f t="shared" si="3"/>
        <v>2652.0803699999997</v>
      </c>
      <c r="J25" s="69">
        <f t="shared" si="3"/>
        <v>182.36095</v>
      </c>
      <c r="K25" s="70">
        <f t="shared" si="3"/>
        <v>28.0363653</v>
      </c>
      <c r="L25" s="69">
        <f t="shared" si="3"/>
        <v>4277.1203066</v>
      </c>
      <c r="M25" s="129">
        <f aca="true" t="shared" si="4" ref="M25:T25">SUM(M12:M24)</f>
        <v>4608.75071</v>
      </c>
      <c r="N25" s="129">
        <f t="shared" si="4"/>
        <v>175.02301010000002</v>
      </c>
      <c r="O25" s="129">
        <f t="shared" si="4"/>
        <v>1554.02098</v>
      </c>
      <c r="P25" s="129">
        <f t="shared" si="4"/>
        <v>74.515945</v>
      </c>
      <c r="Q25" s="71">
        <f t="shared" si="4"/>
        <v>6412.310645099999</v>
      </c>
      <c r="R25" s="71">
        <f t="shared" si="4"/>
        <v>0</v>
      </c>
      <c r="S25" s="71">
        <f t="shared" si="4"/>
        <v>4558.5724900000005</v>
      </c>
      <c r="T25" s="71">
        <f t="shared" si="4"/>
        <v>1853.7381550999996</v>
      </c>
      <c r="U25" s="54">
        <v>33.01128</v>
      </c>
      <c r="V25" s="38"/>
    </row>
    <row r="26" spans="1:20" s="12" customFormat="1" ht="15.75">
      <c r="A26" s="29">
        <v>1</v>
      </c>
      <c r="B26" s="28" t="s">
        <v>36</v>
      </c>
      <c r="C26" s="16"/>
      <c r="D26" s="31">
        <v>0</v>
      </c>
      <c r="E26" s="30"/>
      <c r="F26" s="16"/>
      <c r="G26" s="16"/>
      <c r="H26" s="16"/>
      <c r="I26" s="20"/>
      <c r="J26" s="16"/>
      <c r="K26" s="16"/>
      <c r="L26" s="15">
        <f>SUM(D26:K26)</f>
        <v>0</v>
      </c>
      <c r="M26" s="75">
        <f>372.0843-300.36</f>
        <v>71.72429999999997</v>
      </c>
      <c r="N26" s="75"/>
      <c r="O26" s="75"/>
      <c r="P26" s="75"/>
      <c r="Q26" s="15">
        <f>SUM(M26:P26)</f>
        <v>71.72429999999997</v>
      </c>
      <c r="R26" s="16"/>
      <c r="S26" s="16"/>
      <c r="T26" s="132"/>
    </row>
    <row r="27" spans="1:20" s="12" customFormat="1" ht="15.75">
      <c r="A27" s="29">
        <v>2</v>
      </c>
      <c r="B27" s="28" t="s">
        <v>37</v>
      </c>
      <c r="C27" s="16"/>
      <c r="D27" s="31">
        <v>389.6533422000002</v>
      </c>
      <c r="E27" s="30"/>
      <c r="F27" s="16"/>
      <c r="G27" s="31"/>
      <c r="H27" s="16"/>
      <c r="I27" s="16"/>
      <c r="J27" s="16"/>
      <c r="K27" s="16"/>
      <c r="L27" s="15">
        <f>SUM(D27:K27)</f>
        <v>389.6533422000002</v>
      </c>
      <c r="M27" s="75"/>
      <c r="N27" s="75"/>
      <c r="O27" s="75"/>
      <c r="P27" s="75">
        <f>15.47942+1.23365+3.52156+3.43125+4.2246+1.07404+2.43301+2.5</f>
        <v>33.897529999999996</v>
      </c>
      <c r="Q27" s="15">
        <f>SUM(M27:P27)</f>
        <v>33.897529999999996</v>
      </c>
      <c r="R27" s="16"/>
      <c r="S27" s="16"/>
      <c r="T27" s="132"/>
    </row>
    <row r="28" spans="1:20" s="9" customFormat="1" ht="19.5" customHeight="1">
      <c r="A28" s="32"/>
      <c r="B28" s="78" t="s">
        <v>14</v>
      </c>
      <c r="C28" s="79">
        <f>SUM(C15:C27)</f>
        <v>57194</v>
      </c>
      <c r="D28" s="79">
        <f>SUM(D26:D27)</f>
        <v>389.6533422000002</v>
      </c>
      <c r="E28" s="79">
        <f aca="true" t="shared" si="5" ref="E28:P28">SUM(E26:E27)</f>
        <v>0</v>
      </c>
      <c r="F28" s="79">
        <f t="shared" si="5"/>
        <v>0</v>
      </c>
      <c r="G28" s="80">
        <f>SUM(G26:G27)</f>
        <v>0</v>
      </c>
      <c r="H28" s="79">
        <f>SUM(H26:H27)</f>
        <v>0</v>
      </c>
      <c r="I28" s="79">
        <f t="shared" si="5"/>
        <v>0</v>
      </c>
      <c r="J28" s="79">
        <f>SUM(J26:J27)</f>
        <v>0</v>
      </c>
      <c r="K28" s="79">
        <f t="shared" si="5"/>
        <v>0</v>
      </c>
      <c r="L28" s="79">
        <f>SUM(L26:L27)</f>
        <v>389.6533422000002</v>
      </c>
      <c r="M28" s="81">
        <f t="shared" si="5"/>
        <v>71.72429999999997</v>
      </c>
      <c r="N28" s="81">
        <f t="shared" si="5"/>
        <v>0</v>
      </c>
      <c r="O28" s="81">
        <f t="shared" si="5"/>
        <v>0</v>
      </c>
      <c r="P28" s="81">
        <f t="shared" si="5"/>
        <v>33.897529999999996</v>
      </c>
      <c r="Q28" s="82">
        <f>SUM(Q26:Q27)</f>
        <v>105.62182999999996</v>
      </c>
      <c r="R28" s="32"/>
      <c r="S28" s="32"/>
      <c r="T28" s="133"/>
    </row>
    <row r="29" spans="1:21" s="12" customFormat="1" ht="15.75">
      <c r="A29" s="72"/>
      <c r="B29" s="73" t="s">
        <v>38</v>
      </c>
      <c r="C29" s="72"/>
      <c r="D29" s="66">
        <f aca="true" t="shared" si="6" ref="D29:P29">D25+D28</f>
        <v>1617.0515024000001</v>
      </c>
      <c r="E29" s="66">
        <f t="shared" si="6"/>
        <v>218.52673000000001</v>
      </c>
      <c r="F29" s="66">
        <f t="shared" si="6"/>
        <v>1.63563</v>
      </c>
      <c r="G29" s="74">
        <f t="shared" si="6"/>
        <v>0</v>
      </c>
      <c r="H29" s="74">
        <f t="shared" si="6"/>
        <v>0</v>
      </c>
      <c r="I29" s="66">
        <f t="shared" si="6"/>
        <v>2652.0803699999997</v>
      </c>
      <c r="J29" s="74">
        <f t="shared" si="6"/>
        <v>182.36095</v>
      </c>
      <c r="K29" s="66">
        <f t="shared" si="6"/>
        <v>28.0363653</v>
      </c>
      <c r="L29" s="74">
        <f t="shared" si="6"/>
        <v>4666.7736488</v>
      </c>
      <c r="M29" s="83">
        <f t="shared" si="6"/>
        <v>4680.47501</v>
      </c>
      <c r="N29" s="83">
        <f t="shared" si="6"/>
        <v>175.02301010000002</v>
      </c>
      <c r="O29" s="83">
        <f t="shared" si="6"/>
        <v>1554.02098</v>
      </c>
      <c r="P29" s="83">
        <f t="shared" si="6"/>
        <v>108.413475</v>
      </c>
      <c r="Q29" s="134">
        <f>Q25+Q28</f>
        <v>6517.9324750999995</v>
      </c>
      <c r="R29" s="16"/>
      <c r="S29" s="16"/>
      <c r="T29" s="132"/>
      <c r="U29" s="58"/>
    </row>
    <row r="30" spans="2:17" s="12" customFormat="1" ht="15.75">
      <c r="B30" s="9"/>
      <c r="E30" s="18"/>
      <c r="Q30" s="207"/>
    </row>
    <row r="31" spans="2:22" s="12" customFormat="1" ht="12.75">
      <c r="B31" s="9"/>
      <c r="E31" s="18"/>
      <c r="Q31" s="33"/>
      <c r="U31" s="33"/>
      <c r="V31" s="33"/>
    </row>
    <row r="32" spans="2:5" s="12" customFormat="1" ht="12.75">
      <c r="B32" s="9"/>
      <c r="E32" s="18"/>
    </row>
    <row r="33" spans="2:5" s="12" customFormat="1" ht="12.75">
      <c r="B33" s="9"/>
      <c r="E33" s="18"/>
    </row>
    <row r="34" spans="2:5" s="12" customFormat="1" ht="12.75">
      <c r="B34" s="9"/>
      <c r="E34" s="18"/>
    </row>
    <row r="35" spans="2:17" s="12" customFormat="1" ht="18.75">
      <c r="B35" s="9"/>
      <c r="E35" s="18"/>
      <c r="O35" s="224"/>
      <c r="P35" s="225"/>
      <c r="Q35" s="225"/>
    </row>
    <row r="36" spans="2:17" s="12" customFormat="1" ht="18.75">
      <c r="B36" s="9"/>
      <c r="E36" s="18"/>
      <c r="O36" s="224"/>
      <c r="P36" s="225"/>
      <c r="Q36" s="225"/>
    </row>
  </sheetData>
  <mergeCells count="15">
    <mergeCell ref="P1:Q1"/>
    <mergeCell ref="M9:S9"/>
    <mergeCell ref="A2:Q2"/>
    <mergeCell ref="A4:Q4"/>
    <mergeCell ref="A6:Q6"/>
    <mergeCell ref="I9:J9"/>
    <mergeCell ref="K9:K10"/>
    <mergeCell ref="L9:L10"/>
    <mergeCell ref="E9:F9"/>
    <mergeCell ref="O35:Q35"/>
    <mergeCell ref="O36:Q36"/>
    <mergeCell ref="A9:A10"/>
    <mergeCell ref="B9:B10"/>
    <mergeCell ref="D9:D10"/>
    <mergeCell ref="G9:H9"/>
  </mergeCells>
  <printOptions horizontalCentered="1"/>
  <pageMargins left="0.5" right="0.25" top="0.75" bottom="0.75" header="0.5" footer="0.5"/>
  <pageSetup horizontalDpi="600" verticalDpi="600" orientation="landscape" paperSize="9" scale="74" r:id="rId3"/>
  <headerFooter alignWithMargins="0">
    <oddHeader>&amp;RPart-III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33"/>
  <sheetViews>
    <sheetView zoomScale="70" zoomScaleNormal="70" zoomScaleSheetLayoutView="70" workbookViewId="0" topLeftCell="A1">
      <pane xSplit="2" ySplit="13" topLeftCell="AO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27" sqref="C27:AX27"/>
    </sheetView>
  </sheetViews>
  <sheetFormatPr defaultColWidth="9.140625" defaultRowHeight="12.75"/>
  <cols>
    <col min="1" max="1" width="4.140625" style="1" customWidth="1"/>
    <col min="2" max="2" width="20.57421875" style="2" customWidth="1"/>
    <col min="3" max="3" width="7.57421875" style="1" customWidth="1"/>
    <col min="4" max="4" width="8.57421875" style="1" customWidth="1"/>
    <col min="5" max="6" width="7.57421875" style="1" customWidth="1"/>
    <col min="7" max="7" width="8.57421875" style="1" customWidth="1"/>
    <col min="8" max="8" width="8.28125" style="1" customWidth="1"/>
    <col min="9" max="9" width="7.57421875" style="1" customWidth="1"/>
    <col min="10" max="10" width="8.8515625" style="1" customWidth="1"/>
    <col min="11" max="11" width="8.7109375" style="1" customWidth="1"/>
    <col min="12" max="17" width="7.57421875" style="1" customWidth="1"/>
    <col min="18" max="18" width="6.7109375" style="1" customWidth="1"/>
    <col min="19" max="20" width="7.57421875" style="1" customWidth="1"/>
    <col min="21" max="23" width="8.00390625" style="1" customWidth="1"/>
    <col min="24" max="24" width="8.8515625" style="1" customWidth="1"/>
    <col min="25" max="38" width="8.00390625" style="1" customWidth="1"/>
    <col min="39" max="40" width="7.00390625" style="1" customWidth="1"/>
    <col min="41" max="41" width="8.7109375" style="1" customWidth="1"/>
    <col min="42" max="42" width="6.28125" style="1" customWidth="1"/>
    <col min="43" max="43" width="6.7109375" style="1" customWidth="1"/>
    <col min="44" max="44" width="7.00390625" style="1" customWidth="1"/>
    <col min="45" max="45" width="6.00390625" style="1" customWidth="1"/>
    <col min="46" max="46" width="6.8515625" style="1" customWidth="1"/>
    <col min="47" max="47" width="7.57421875" style="1" customWidth="1"/>
    <col min="48" max="48" width="6.140625" style="1" customWidth="1"/>
    <col min="49" max="49" width="6.421875" style="1" customWidth="1"/>
    <col min="50" max="50" width="7.57421875" style="1" customWidth="1"/>
    <col min="51" max="51" width="6.00390625" style="1" customWidth="1"/>
    <col min="52" max="52" width="5.421875" style="1" customWidth="1"/>
    <col min="53" max="53" width="7.57421875" style="1" customWidth="1"/>
    <col min="54" max="54" width="6.28125" style="1" customWidth="1"/>
    <col min="55" max="55" width="5.8515625" style="1" customWidth="1"/>
    <col min="56" max="56" width="7.00390625" style="1" customWidth="1"/>
    <col min="57" max="58" width="6.140625" style="1" customWidth="1"/>
    <col min="59" max="59" width="9.421875" style="1" customWidth="1"/>
    <col min="60" max="60" width="6.140625" style="1" customWidth="1"/>
    <col min="61" max="61" width="6.421875" style="1" customWidth="1"/>
    <col min="62" max="62" width="9.421875" style="1" customWidth="1"/>
    <col min="63" max="63" width="9.28125" style="1" bestFit="1" customWidth="1"/>
    <col min="64" max="64" width="9.140625" style="1" customWidth="1"/>
    <col min="65" max="65" width="11.421875" style="1" customWidth="1"/>
    <col min="66" max="16384" width="9.140625" style="1" customWidth="1"/>
  </cols>
  <sheetData>
    <row r="1" ht="16.5">
      <c r="A1" s="5"/>
    </row>
    <row r="2" spans="1:62" ht="21.75" customHeight="1">
      <c r="A2" s="241" t="s">
        <v>18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30" t="s">
        <v>18</v>
      </c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 t="s">
        <v>18</v>
      </c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</row>
    <row r="3" spans="1:40" ht="15" customHeight="1">
      <c r="A3" s="6"/>
      <c r="B3" s="6"/>
      <c r="U3" s="6"/>
      <c r="V3" s="6"/>
      <c r="AM3" s="6"/>
      <c r="AN3" s="6"/>
    </row>
    <row r="4" spans="1:62" ht="20.25" customHeight="1">
      <c r="A4" s="228" t="s">
        <v>19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31" t="s">
        <v>19</v>
      </c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 t="s">
        <v>19</v>
      </c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</row>
    <row r="5" spans="1:40" ht="19.5" customHeight="1">
      <c r="A5" s="7"/>
      <c r="B5" s="7"/>
      <c r="I5" s="3"/>
      <c r="J5" s="3"/>
      <c r="U5" s="7"/>
      <c r="V5" s="7"/>
      <c r="AM5" s="7"/>
      <c r="AN5" s="7"/>
    </row>
    <row r="6" spans="1:62" ht="18.75" customHeight="1">
      <c r="A6" s="232" t="s">
        <v>91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 t="s">
        <v>91</v>
      </c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 t="s">
        <v>91</v>
      </c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</row>
    <row r="7" spans="1:2" ht="13.5" customHeight="1">
      <c r="A7" s="7"/>
      <c r="B7" s="7"/>
    </row>
    <row r="8" spans="1:2" ht="19.5" customHeight="1">
      <c r="A8" s="77" t="s">
        <v>16</v>
      </c>
      <c r="B8" s="76"/>
    </row>
    <row r="9" spans="2:62" ht="20.25">
      <c r="B9" s="1"/>
      <c r="C9" s="237">
        <v>1</v>
      </c>
      <c r="D9" s="237"/>
      <c r="E9" s="237"/>
      <c r="F9" s="237"/>
      <c r="G9" s="237"/>
      <c r="H9" s="237"/>
      <c r="I9" s="237">
        <v>2</v>
      </c>
      <c r="J9" s="237"/>
      <c r="K9" s="237"/>
      <c r="L9" s="237"/>
      <c r="M9" s="237"/>
      <c r="N9" s="237"/>
      <c r="O9" s="237">
        <v>3</v>
      </c>
      <c r="P9" s="237"/>
      <c r="Q9" s="237"/>
      <c r="R9" s="237"/>
      <c r="S9" s="237"/>
      <c r="T9" s="237"/>
      <c r="U9" s="237">
        <v>4</v>
      </c>
      <c r="V9" s="237"/>
      <c r="W9" s="237"/>
      <c r="X9" s="237"/>
      <c r="Y9" s="237"/>
      <c r="Z9" s="237"/>
      <c r="AA9" s="237">
        <v>5</v>
      </c>
      <c r="AB9" s="237"/>
      <c r="AC9" s="237"/>
      <c r="AD9" s="237"/>
      <c r="AE9" s="237"/>
      <c r="AF9" s="237"/>
      <c r="AG9" s="229">
        <v>6</v>
      </c>
      <c r="AH9" s="229"/>
      <c r="AI9" s="229"/>
      <c r="AJ9" s="229"/>
      <c r="AK9" s="229"/>
      <c r="AL9" s="229"/>
      <c r="AM9" s="229">
        <v>7</v>
      </c>
      <c r="AN9" s="229"/>
      <c r="AO9" s="229"/>
      <c r="AP9" s="229"/>
      <c r="AQ9" s="229"/>
      <c r="AR9" s="229"/>
      <c r="AS9" s="229">
        <v>8</v>
      </c>
      <c r="AT9" s="229"/>
      <c r="AU9" s="229"/>
      <c r="AV9" s="229"/>
      <c r="AW9" s="229"/>
      <c r="AX9" s="229"/>
      <c r="AY9" s="229">
        <v>9</v>
      </c>
      <c r="AZ9" s="229"/>
      <c r="BA9" s="229"/>
      <c r="BB9" s="229"/>
      <c r="BC9" s="229"/>
      <c r="BD9" s="229"/>
      <c r="BE9" s="229">
        <v>10</v>
      </c>
      <c r="BF9" s="229"/>
      <c r="BG9" s="229"/>
      <c r="BH9" s="229"/>
      <c r="BI9" s="229"/>
      <c r="BJ9" s="229"/>
    </row>
    <row r="10" spans="1:62" s="64" customFormat="1" ht="31.5" customHeight="1">
      <c r="A10" s="242" t="s">
        <v>17</v>
      </c>
      <c r="B10" s="245" t="s">
        <v>2</v>
      </c>
      <c r="C10" s="233" t="s">
        <v>51</v>
      </c>
      <c r="D10" s="233"/>
      <c r="E10" s="233"/>
      <c r="F10" s="233"/>
      <c r="G10" s="233"/>
      <c r="H10" s="233"/>
      <c r="I10" s="238" t="s">
        <v>53</v>
      </c>
      <c r="J10" s="239"/>
      <c r="K10" s="239"/>
      <c r="L10" s="239"/>
      <c r="M10" s="239"/>
      <c r="N10" s="240"/>
      <c r="O10" s="238" t="s">
        <v>55</v>
      </c>
      <c r="P10" s="239"/>
      <c r="Q10" s="239"/>
      <c r="R10" s="239"/>
      <c r="S10" s="239"/>
      <c r="T10" s="240"/>
      <c r="U10" s="238" t="s">
        <v>57</v>
      </c>
      <c r="V10" s="239"/>
      <c r="W10" s="239"/>
      <c r="X10" s="239"/>
      <c r="Y10" s="239"/>
      <c r="Z10" s="239"/>
      <c r="AA10" s="238" t="s">
        <v>58</v>
      </c>
      <c r="AB10" s="239"/>
      <c r="AC10" s="239"/>
      <c r="AD10" s="239"/>
      <c r="AE10" s="239"/>
      <c r="AF10" s="239"/>
      <c r="AG10" s="233" t="s">
        <v>59</v>
      </c>
      <c r="AH10" s="233"/>
      <c r="AI10" s="233"/>
      <c r="AJ10" s="233"/>
      <c r="AK10" s="233"/>
      <c r="AL10" s="233"/>
      <c r="AM10" s="233" t="s">
        <v>60</v>
      </c>
      <c r="AN10" s="233"/>
      <c r="AO10" s="233"/>
      <c r="AP10" s="233"/>
      <c r="AQ10" s="233"/>
      <c r="AR10" s="233"/>
      <c r="AS10" s="233" t="s">
        <v>28</v>
      </c>
      <c r="AT10" s="233"/>
      <c r="AU10" s="233"/>
      <c r="AV10" s="233"/>
      <c r="AW10" s="233"/>
      <c r="AX10" s="233"/>
      <c r="AY10" s="233" t="s">
        <v>61</v>
      </c>
      <c r="AZ10" s="233"/>
      <c r="BA10" s="233"/>
      <c r="BB10" s="233"/>
      <c r="BC10" s="233"/>
      <c r="BD10" s="233"/>
      <c r="BE10" s="233" t="s">
        <v>86</v>
      </c>
      <c r="BF10" s="233"/>
      <c r="BG10" s="233"/>
      <c r="BH10" s="233"/>
      <c r="BI10" s="233"/>
      <c r="BJ10" s="233"/>
    </row>
    <row r="11" spans="1:62" s="64" customFormat="1" ht="28.5" customHeight="1">
      <c r="A11" s="243"/>
      <c r="B11" s="246"/>
      <c r="C11" s="233" t="s">
        <v>50</v>
      </c>
      <c r="D11" s="233"/>
      <c r="E11" s="233"/>
      <c r="F11" s="233" t="s">
        <v>52</v>
      </c>
      <c r="G11" s="233"/>
      <c r="H11" s="233"/>
      <c r="I11" s="233" t="s">
        <v>50</v>
      </c>
      <c r="J11" s="233"/>
      <c r="K11" s="233"/>
      <c r="L11" s="233" t="s">
        <v>52</v>
      </c>
      <c r="M11" s="233"/>
      <c r="N11" s="233"/>
      <c r="O11" s="233" t="s">
        <v>50</v>
      </c>
      <c r="P11" s="233"/>
      <c r="Q11" s="233"/>
      <c r="R11" s="233" t="s">
        <v>52</v>
      </c>
      <c r="S11" s="233"/>
      <c r="T11" s="233"/>
      <c r="U11" s="233" t="s">
        <v>50</v>
      </c>
      <c r="V11" s="233"/>
      <c r="W11" s="233"/>
      <c r="X11" s="233" t="s">
        <v>52</v>
      </c>
      <c r="Y11" s="233"/>
      <c r="Z11" s="233"/>
      <c r="AA11" s="233" t="s">
        <v>50</v>
      </c>
      <c r="AB11" s="233"/>
      <c r="AC11" s="233"/>
      <c r="AD11" s="233" t="s">
        <v>52</v>
      </c>
      <c r="AE11" s="233"/>
      <c r="AF11" s="233"/>
      <c r="AG11" s="233" t="s">
        <v>50</v>
      </c>
      <c r="AH11" s="233"/>
      <c r="AI11" s="233"/>
      <c r="AJ11" s="233" t="s">
        <v>52</v>
      </c>
      <c r="AK11" s="233"/>
      <c r="AL11" s="233"/>
      <c r="AM11" s="233" t="s">
        <v>50</v>
      </c>
      <c r="AN11" s="233"/>
      <c r="AO11" s="233"/>
      <c r="AP11" s="233" t="s">
        <v>52</v>
      </c>
      <c r="AQ11" s="233"/>
      <c r="AR11" s="233"/>
      <c r="AS11" s="233" t="s">
        <v>50</v>
      </c>
      <c r="AT11" s="233"/>
      <c r="AU11" s="233"/>
      <c r="AV11" s="233" t="s">
        <v>52</v>
      </c>
      <c r="AW11" s="233"/>
      <c r="AX11" s="233"/>
      <c r="AY11" s="233" t="s">
        <v>50</v>
      </c>
      <c r="AZ11" s="233"/>
      <c r="BA11" s="233"/>
      <c r="BB11" s="233" t="s">
        <v>52</v>
      </c>
      <c r="BC11" s="233"/>
      <c r="BD11" s="233"/>
      <c r="BE11" s="233" t="s">
        <v>50</v>
      </c>
      <c r="BF11" s="233"/>
      <c r="BG11" s="233"/>
      <c r="BH11" s="233" t="s">
        <v>52</v>
      </c>
      <c r="BI11" s="233"/>
      <c r="BJ11" s="233"/>
    </row>
    <row r="12" spans="1:62" s="60" customFormat="1" ht="28.5" customHeight="1">
      <c r="A12" s="244"/>
      <c r="B12" s="247"/>
      <c r="C12" s="234" t="s">
        <v>49</v>
      </c>
      <c r="D12" s="234"/>
      <c r="E12" s="235" t="s">
        <v>76</v>
      </c>
      <c r="F12" s="234" t="s">
        <v>49</v>
      </c>
      <c r="G12" s="234"/>
      <c r="H12" s="235" t="s">
        <v>76</v>
      </c>
      <c r="I12" s="234" t="s">
        <v>49</v>
      </c>
      <c r="J12" s="234"/>
      <c r="K12" s="235" t="s">
        <v>76</v>
      </c>
      <c r="L12" s="234" t="s">
        <v>49</v>
      </c>
      <c r="M12" s="234"/>
      <c r="N12" s="235" t="s">
        <v>76</v>
      </c>
      <c r="O12" s="234" t="s">
        <v>49</v>
      </c>
      <c r="P12" s="234"/>
      <c r="Q12" s="235" t="s">
        <v>76</v>
      </c>
      <c r="R12" s="234" t="s">
        <v>49</v>
      </c>
      <c r="S12" s="234"/>
      <c r="T12" s="235" t="s">
        <v>76</v>
      </c>
      <c r="U12" s="234" t="s">
        <v>49</v>
      </c>
      <c r="V12" s="234"/>
      <c r="W12" s="235" t="s">
        <v>76</v>
      </c>
      <c r="X12" s="234" t="s">
        <v>49</v>
      </c>
      <c r="Y12" s="234"/>
      <c r="Z12" s="235" t="s">
        <v>76</v>
      </c>
      <c r="AA12" s="234" t="s">
        <v>49</v>
      </c>
      <c r="AB12" s="234"/>
      <c r="AC12" s="235" t="s">
        <v>76</v>
      </c>
      <c r="AD12" s="234" t="s">
        <v>49</v>
      </c>
      <c r="AE12" s="234"/>
      <c r="AF12" s="235" t="s">
        <v>76</v>
      </c>
      <c r="AG12" s="234" t="s">
        <v>49</v>
      </c>
      <c r="AH12" s="234"/>
      <c r="AI12" s="235" t="s">
        <v>76</v>
      </c>
      <c r="AJ12" s="234" t="s">
        <v>49</v>
      </c>
      <c r="AK12" s="234"/>
      <c r="AL12" s="235" t="s">
        <v>76</v>
      </c>
      <c r="AM12" s="234" t="s">
        <v>49</v>
      </c>
      <c r="AN12" s="234"/>
      <c r="AO12" s="235" t="s">
        <v>76</v>
      </c>
      <c r="AP12" s="234" t="s">
        <v>49</v>
      </c>
      <c r="AQ12" s="234"/>
      <c r="AR12" s="235" t="s">
        <v>76</v>
      </c>
      <c r="AS12" s="234" t="s">
        <v>49</v>
      </c>
      <c r="AT12" s="234"/>
      <c r="AU12" s="235" t="s">
        <v>76</v>
      </c>
      <c r="AV12" s="234" t="s">
        <v>49</v>
      </c>
      <c r="AW12" s="234"/>
      <c r="AX12" s="235" t="s">
        <v>76</v>
      </c>
      <c r="AY12" s="234" t="s">
        <v>49</v>
      </c>
      <c r="AZ12" s="234"/>
      <c r="BA12" s="235" t="s">
        <v>76</v>
      </c>
      <c r="BB12" s="234" t="s">
        <v>49</v>
      </c>
      <c r="BC12" s="234"/>
      <c r="BD12" s="235" t="s">
        <v>76</v>
      </c>
      <c r="BE12" s="234" t="s">
        <v>49</v>
      </c>
      <c r="BF12" s="234"/>
      <c r="BG12" s="235" t="s">
        <v>76</v>
      </c>
      <c r="BH12" s="234" t="s">
        <v>49</v>
      </c>
      <c r="BI12" s="234"/>
      <c r="BJ12" s="235" t="s">
        <v>76</v>
      </c>
    </row>
    <row r="13" spans="1:62" s="65" customFormat="1" ht="13.5" customHeight="1">
      <c r="A13" s="119"/>
      <c r="B13" s="120"/>
      <c r="C13" s="121" t="s">
        <v>54</v>
      </c>
      <c r="D13" s="121" t="s">
        <v>74</v>
      </c>
      <c r="E13" s="236"/>
      <c r="F13" s="121" t="s">
        <v>54</v>
      </c>
      <c r="G13" s="121" t="s">
        <v>74</v>
      </c>
      <c r="H13" s="236"/>
      <c r="I13" s="121" t="s">
        <v>54</v>
      </c>
      <c r="J13" s="121" t="s">
        <v>75</v>
      </c>
      <c r="K13" s="236"/>
      <c r="L13" s="121" t="s">
        <v>54</v>
      </c>
      <c r="M13" s="121" t="s">
        <v>75</v>
      </c>
      <c r="N13" s="236"/>
      <c r="O13" s="121" t="s">
        <v>54</v>
      </c>
      <c r="P13" s="121" t="s">
        <v>56</v>
      </c>
      <c r="Q13" s="236"/>
      <c r="R13" s="121" t="s">
        <v>54</v>
      </c>
      <c r="S13" s="121" t="s">
        <v>56</v>
      </c>
      <c r="T13" s="236"/>
      <c r="U13" s="121" t="s">
        <v>54</v>
      </c>
      <c r="V13" s="122" t="s">
        <v>75</v>
      </c>
      <c r="W13" s="236"/>
      <c r="X13" s="121" t="s">
        <v>54</v>
      </c>
      <c r="Y13" s="121" t="s">
        <v>75</v>
      </c>
      <c r="Z13" s="236"/>
      <c r="AA13" s="121" t="s">
        <v>54</v>
      </c>
      <c r="AB13" s="121" t="s">
        <v>74</v>
      </c>
      <c r="AC13" s="236"/>
      <c r="AD13" s="121" t="s">
        <v>54</v>
      </c>
      <c r="AE13" s="121" t="s">
        <v>74</v>
      </c>
      <c r="AF13" s="236"/>
      <c r="AG13" s="121" t="s">
        <v>54</v>
      </c>
      <c r="AH13" s="121" t="s">
        <v>75</v>
      </c>
      <c r="AI13" s="236"/>
      <c r="AJ13" s="121" t="s">
        <v>54</v>
      </c>
      <c r="AK13" s="121" t="s">
        <v>75</v>
      </c>
      <c r="AL13" s="236"/>
      <c r="AM13" s="121" t="s">
        <v>54</v>
      </c>
      <c r="AN13" s="121" t="s">
        <v>56</v>
      </c>
      <c r="AO13" s="236"/>
      <c r="AP13" s="121" t="s">
        <v>54</v>
      </c>
      <c r="AQ13" s="121" t="s">
        <v>56</v>
      </c>
      <c r="AR13" s="236"/>
      <c r="AS13" s="121" t="s">
        <v>54</v>
      </c>
      <c r="AT13" s="121" t="s">
        <v>56</v>
      </c>
      <c r="AU13" s="236"/>
      <c r="AV13" s="121" t="s">
        <v>54</v>
      </c>
      <c r="AW13" s="121" t="s">
        <v>56</v>
      </c>
      <c r="AX13" s="236"/>
      <c r="AY13" s="121" t="s">
        <v>54</v>
      </c>
      <c r="AZ13" s="121"/>
      <c r="BA13" s="236"/>
      <c r="BB13" s="121" t="s">
        <v>54</v>
      </c>
      <c r="BC13" s="121"/>
      <c r="BD13" s="236"/>
      <c r="BE13" s="121" t="s">
        <v>54</v>
      </c>
      <c r="BF13" s="121"/>
      <c r="BG13" s="236"/>
      <c r="BH13" s="121" t="s">
        <v>54</v>
      </c>
      <c r="BI13" s="121"/>
      <c r="BJ13" s="236"/>
    </row>
    <row r="14" spans="1:65" s="175" customFormat="1" ht="16.5" customHeight="1">
      <c r="A14" s="168">
        <v>1</v>
      </c>
      <c r="B14" s="169" t="s">
        <v>12</v>
      </c>
      <c r="C14" s="170">
        <v>27</v>
      </c>
      <c r="D14" s="171">
        <v>21453.141</v>
      </c>
      <c r="E14" s="170">
        <v>23.05206</v>
      </c>
      <c r="F14" s="170">
        <v>19</v>
      </c>
      <c r="G14" s="170">
        <v>117371.4</v>
      </c>
      <c r="H14" s="170">
        <v>13.25048</v>
      </c>
      <c r="I14" s="170">
        <v>115</v>
      </c>
      <c r="J14" s="170">
        <v>120.52108000000001</v>
      </c>
      <c r="K14" s="170">
        <v>48.028555</v>
      </c>
      <c r="L14" s="170">
        <v>96</v>
      </c>
      <c r="M14" s="170">
        <v>82.86</v>
      </c>
      <c r="N14" s="170">
        <v>30.77539</v>
      </c>
      <c r="O14" s="170">
        <v>2</v>
      </c>
      <c r="P14" s="170">
        <v>4</v>
      </c>
      <c r="Q14" s="170">
        <v>1.29843</v>
      </c>
      <c r="R14" s="170">
        <v>4</v>
      </c>
      <c r="S14" s="170">
        <v>2102</v>
      </c>
      <c r="T14" s="170">
        <v>2.34788</v>
      </c>
      <c r="U14" s="170">
        <v>17</v>
      </c>
      <c r="V14" s="170">
        <v>203.25</v>
      </c>
      <c r="W14" s="170">
        <v>8.12731</v>
      </c>
      <c r="X14" s="170">
        <v>23</v>
      </c>
      <c r="Y14" s="170">
        <v>1252.75</v>
      </c>
      <c r="Z14" s="170">
        <v>13.08142</v>
      </c>
      <c r="AA14" s="170">
        <v>6</v>
      </c>
      <c r="AB14" s="170">
        <v>4289.16</v>
      </c>
      <c r="AC14" s="170">
        <v>3.86509</v>
      </c>
      <c r="AD14" s="170">
        <v>6</v>
      </c>
      <c r="AE14" s="170">
        <v>0.5</v>
      </c>
      <c r="AF14" s="170">
        <v>0</v>
      </c>
      <c r="AG14" s="170">
        <v>35</v>
      </c>
      <c r="AH14" s="170">
        <v>31.3</v>
      </c>
      <c r="AI14" s="170">
        <v>14.22554</v>
      </c>
      <c r="AJ14" s="170">
        <v>10</v>
      </c>
      <c r="AK14" s="170">
        <v>1003.24</v>
      </c>
      <c r="AL14" s="170">
        <v>7.82367</v>
      </c>
      <c r="AM14" s="170">
        <v>30</v>
      </c>
      <c r="AN14" s="170">
        <v>26.785</v>
      </c>
      <c r="AO14" s="170">
        <v>40.65967</v>
      </c>
      <c r="AP14" s="170">
        <v>13</v>
      </c>
      <c r="AQ14" s="170">
        <v>11.7</v>
      </c>
      <c r="AR14" s="170">
        <v>11.35943</v>
      </c>
      <c r="AS14" s="170">
        <v>70</v>
      </c>
      <c r="AT14" s="170">
        <v>154.237</v>
      </c>
      <c r="AU14" s="170">
        <v>87.26801</v>
      </c>
      <c r="AV14" s="170">
        <v>31</v>
      </c>
      <c r="AW14" s="170">
        <v>36.25</v>
      </c>
      <c r="AX14" s="170">
        <v>37.79566</v>
      </c>
      <c r="AY14" s="170">
        <v>0</v>
      </c>
      <c r="AZ14" s="170">
        <v>0</v>
      </c>
      <c r="BA14" s="170">
        <v>0</v>
      </c>
      <c r="BB14" s="170">
        <v>0</v>
      </c>
      <c r="BC14" s="170">
        <v>0</v>
      </c>
      <c r="BD14" s="170">
        <v>0</v>
      </c>
      <c r="BE14" s="171">
        <f aca="true" t="shared" si="0" ref="BE14:BE26">SUM(C14,I14,O14,U14,AA14,AG14,AM14,AS14,AY14)</f>
        <v>302</v>
      </c>
      <c r="BF14" s="172"/>
      <c r="BG14" s="173">
        <f aca="true" t="shared" si="1" ref="BG14:BG26">SUM(E14,K14,Q14,W14,AC14,AI14,AO14,AU14,BA14)</f>
        <v>226.52466499999997</v>
      </c>
      <c r="BH14" s="172">
        <f>SUM(F14,L14,R14,X14,AD14,AJ14,AP14,AV14,BB14)</f>
        <v>202</v>
      </c>
      <c r="BI14" s="172">
        <v>0</v>
      </c>
      <c r="BJ14" s="173">
        <v>62.43187</v>
      </c>
      <c r="BK14" s="174">
        <f>BG14+BJ14</f>
        <v>288.956535</v>
      </c>
      <c r="BL14" s="175">
        <v>186.89591000000001</v>
      </c>
      <c r="BM14" s="174">
        <f>BL14-BK14</f>
        <v>-102.06062499999996</v>
      </c>
    </row>
    <row r="15" spans="1:65" s="175" customFormat="1" ht="18">
      <c r="A15" s="168">
        <v>2</v>
      </c>
      <c r="B15" s="169" t="s">
        <v>13</v>
      </c>
      <c r="C15" s="170">
        <v>2</v>
      </c>
      <c r="D15" s="171">
        <v>11760.133333333333</v>
      </c>
      <c r="E15" s="170">
        <v>3.52804</v>
      </c>
      <c r="F15" s="170">
        <v>15</v>
      </c>
      <c r="G15" s="170">
        <v>49330.50793650794</v>
      </c>
      <c r="H15" s="170">
        <v>15.53911</v>
      </c>
      <c r="I15" s="170">
        <v>20</v>
      </c>
      <c r="J15" s="170">
        <v>20.90478125</v>
      </c>
      <c r="K15" s="170">
        <v>6.68953</v>
      </c>
      <c r="L15" s="170">
        <v>24</v>
      </c>
      <c r="M15" s="170">
        <v>38.758428571428574</v>
      </c>
      <c r="N15" s="170">
        <v>13.56545</v>
      </c>
      <c r="O15" s="170">
        <v>3</v>
      </c>
      <c r="P15" s="170">
        <v>2.714790322580645</v>
      </c>
      <c r="Q15" s="170">
        <v>1.68317</v>
      </c>
      <c r="R15" s="170">
        <v>7</v>
      </c>
      <c r="S15" s="170">
        <v>4.573907692307692</v>
      </c>
      <c r="T15" s="170">
        <v>2.97304</v>
      </c>
      <c r="U15" s="170">
        <v>8</v>
      </c>
      <c r="V15" s="170">
        <v>20.755438596491228</v>
      </c>
      <c r="W15" s="170">
        <v>5.9153</v>
      </c>
      <c r="X15" s="170">
        <v>2</v>
      </c>
      <c r="Y15" s="170">
        <v>13.242</v>
      </c>
      <c r="Z15" s="170">
        <v>3.37671</v>
      </c>
      <c r="AA15" s="170">
        <v>1</v>
      </c>
      <c r="AB15" s="170">
        <v>4469</v>
      </c>
      <c r="AC15" s="170">
        <v>1.26505</v>
      </c>
      <c r="AD15" s="170">
        <v>4</v>
      </c>
      <c r="AE15" s="170">
        <v>9685.333333333334</v>
      </c>
      <c r="AF15" s="170">
        <v>3.19616</v>
      </c>
      <c r="AG15" s="170">
        <v>3</v>
      </c>
      <c r="AH15" s="170">
        <v>3.1787619047619047</v>
      </c>
      <c r="AI15" s="170">
        <v>2.19588</v>
      </c>
      <c r="AJ15" s="170">
        <v>2</v>
      </c>
      <c r="AK15" s="170">
        <v>4.79015625</v>
      </c>
      <c r="AL15" s="170">
        <v>1.53285</v>
      </c>
      <c r="AM15" s="170">
        <v>18</v>
      </c>
      <c r="AN15" s="170">
        <v>20.383424311926603</v>
      </c>
      <c r="AO15" s="170">
        <v>43.813485</v>
      </c>
      <c r="AP15" s="170">
        <v>24</v>
      </c>
      <c r="AQ15" s="170">
        <v>37.56784054669704</v>
      </c>
      <c r="AR15" s="170">
        <v>82.46141</v>
      </c>
      <c r="AS15" s="170">
        <v>69</v>
      </c>
      <c r="AT15" s="170">
        <v>51.924699999999994</v>
      </c>
      <c r="AU15" s="170">
        <v>106.32343</v>
      </c>
      <c r="AV15" s="170">
        <v>49</v>
      </c>
      <c r="AW15" s="170">
        <v>43.7813242578125</v>
      </c>
      <c r="AX15" s="170">
        <v>125.8330551</v>
      </c>
      <c r="AY15" s="170">
        <v>0</v>
      </c>
      <c r="AZ15" s="170">
        <v>0</v>
      </c>
      <c r="BA15" s="170">
        <v>0</v>
      </c>
      <c r="BB15" s="170">
        <v>0</v>
      </c>
      <c r="BC15" s="170">
        <v>0</v>
      </c>
      <c r="BD15" s="170">
        <v>0</v>
      </c>
      <c r="BE15" s="171">
        <f t="shared" si="0"/>
        <v>124</v>
      </c>
      <c r="BF15" s="172"/>
      <c r="BG15" s="173">
        <f t="shared" si="1"/>
        <v>171.413885</v>
      </c>
      <c r="BH15" s="172">
        <f aca="true" t="shared" si="2" ref="BH15:BH26">SUM(F15,L15,R15,X15,AD15,AJ15,AP15,AV15,BB15)</f>
        <v>127</v>
      </c>
      <c r="BI15" s="172"/>
      <c r="BJ15" s="173">
        <f>SUM(H15,N15,T15,Z15,AF15,AL15,AR15,AX15,BD15)</f>
        <v>248.4777851</v>
      </c>
      <c r="BK15" s="174">
        <f aca="true" t="shared" si="3" ref="BK15:BK26">BG15+BJ15</f>
        <v>419.8916701</v>
      </c>
      <c r="BL15" s="175">
        <v>198.61627</v>
      </c>
      <c r="BM15" s="174">
        <f aca="true" t="shared" si="4" ref="BM15:BM26">BL15-BK15</f>
        <v>-221.2754001</v>
      </c>
    </row>
    <row r="16" spans="1:65" s="175" customFormat="1" ht="18">
      <c r="A16" s="168">
        <v>3</v>
      </c>
      <c r="B16" s="169" t="s">
        <v>5</v>
      </c>
      <c r="C16" s="170">
        <v>81</v>
      </c>
      <c r="D16" s="171">
        <v>136037.1076923077</v>
      </c>
      <c r="E16" s="170">
        <v>44.21206</v>
      </c>
      <c r="F16" s="170">
        <v>23</v>
      </c>
      <c r="G16" s="170">
        <v>78174.30769230769</v>
      </c>
      <c r="H16" s="170">
        <v>25.40665</v>
      </c>
      <c r="I16" s="170">
        <v>46</v>
      </c>
      <c r="J16" s="170">
        <v>113277.4369747899</v>
      </c>
      <c r="K16" s="170">
        <v>26.96003</v>
      </c>
      <c r="L16" s="170">
        <v>10</v>
      </c>
      <c r="M16" s="170">
        <v>30165.840336134454</v>
      </c>
      <c r="N16" s="170">
        <v>7.17947</v>
      </c>
      <c r="O16" s="170">
        <v>43</v>
      </c>
      <c r="P16" s="170">
        <v>57.63477419354839</v>
      </c>
      <c r="Q16" s="170">
        <v>35.73356</v>
      </c>
      <c r="R16" s="170">
        <v>0</v>
      </c>
      <c r="S16" s="170">
        <v>0</v>
      </c>
      <c r="T16" s="170">
        <v>0</v>
      </c>
      <c r="U16" s="170">
        <v>7</v>
      </c>
      <c r="V16" s="170">
        <v>25.3532962962963</v>
      </c>
      <c r="W16" s="170">
        <v>6.84539</v>
      </c>
      <c r="X16" s="170">
        <v>0</v>
      </c>
      <c r="Y16" s="170">
        <v>0</v>
      </c>
      <c r="Z16" s="170">
        <v>0</v>
      </c>
      <c r="AA16" s="170">
        <v>15</v>
      </c>
      <c r="AB16" s="170">
        <v>53334.3492063492</v>
      </c>
      <c r="AC16" s="170">
        <v>16.80032</v>
      </c>
      <c r="AD16" s="170">
        <v>6</v>
      </c>
      <c r="AE16" s="170">
        <v>5674.603174603175</v>
      </c>
      <c r="AF16" s="170">
        <v>1.7875</v>
      </c>
      <c r="AG16" s="170">
        <v>45</v>
      </c>
      <c r="AH16" s="170">
        <v>409.88228125</v>
      </c>
      <c r="AI16" s="170">
        <v>131.16233</v>
      </c>
      <c r="AJ16" s="170">
        <v>4</v>
      </c>
      <c r="AK16" s="170">
        <v>6.14978125</v>
      </c>
      <c r="AL16" s="170">
        <v>1.96793</v>
      </c>
      <c r="AM16" s="170">
        <v>121</v>
      </c>
      <c r="AN16" s="170">
        <v>110.07234210526316</v>
      </c>
      <c r="AO16" s="170">
        <v>250.96494</v>
      </c>
      <c r="AP16" s="170">
        <v>50</v>
      </c>
      <c r="AQ16" s="170">
        <v>64.69801754385965</v>
      </c>
      <c r="AR16" s="170">
        <v>147.51148</v>
      </c>
      <c r="AS16" s="170">
        <v>204</v>
      </c>
      <c r="AT16" s="170">
        <v>458.7105416666667</v>
      </c>
      <c r="AU16" s="170">
        <v>220.18106</v>
      </c>
      <c r="AV16" s="170">
        <v>61</v>
      </c>
      <c r="AW16" s="170">
        <v>121.23227083333333</v>
      </c>
      <c r="AX16" s="170">
        <v>58.19149</v>
      </c>
      <c r="AY16" s="170">
        <v>0</v>
      </c>
      <c r="AZ16" s="170">
        <v>0</v>
      </c>
      <c r="BA16" s="170">
        <v>0</v>
      </c>
      <c r="BB16" s="170">
        <v>0</v>
      </c>
      <c r="BC16" s="170">
        <v>0</v>
      </c>
      <c r="BD16" s="170">
        <v>0</v>
      </c>
      <c r="BE16" s="171">
        <f t="shared" si="0"/>
        <v>562</v>
      </c>
      <c r="BF16" s="172"/>
      <c r="BG16" s="187">
        <f t="shared" si="1"/>
        <v>732.85969</v>
      </c>
      <c r="BH16" s="172">
        <f t="shared" si="2"/>
        <v>154</v>
      </c>
      <c r="BI16" s="172"/>
      <c r="BJ16" s="173">
        <f>SUM(H16,N16,T16,Z16,AF16,AL16,AR16,AX16,BD16)</f>
        <v>242.04452000000003</v>
      </c>
      <c r="BK16" s="174">
        <f t="shared" si="3"/>
        <v>974.90421</v>
      </c>
      <c r="BL16" s="175">
        <v>492.34608000000003</v>
      </c>
      <c r="BM16" s="174">
        <f t="shared" si="4"/>
        <v>-482.55813</v>
      </c>
    </row>
    <row r="17" spans="1:65" s="175" customFormat="1" ht="18">
      <c r="A17" s="168">
        <v>4</v>
      </c>
      <c r="B17" s="169" t="s">
        <v>9</v>
      </c>
      <c r="C17" s="170">
        <v>25</v>
      </c>
      <c r="D17" s="171">
        <v>120569.25925925927</v>
      </c>
      <c r="E17" s="170">
        <v>32.5537</v>
      </c>
      <c r="F17" s="170">
        <v>10</v>
      </c>
      <c r="G17" s="170">
        <v>37322.51851851852</v>
      </c>
      <c r="H17" s="170">
        <v>10.077079999999999</v>
      </c>
      <c r="I17" s="170">
        <v>30</v>
      </c>
      <c r="J17" s="170">
        <v>48.89844</v>
      </c>
      <c r="K17" s="170">
        <v>12.224609999999998</v>
      </c>
      <c r="L17" s="170">
        <v>8</v>
      </c>
      <c r="M17" s="170">
        <v>24.792</v>
      </c>
      <c r="N17" s="170">
        <v>6.198</v>
      </c>
      <c r="O17" s="170">
        <v>7</v>
      </c>
      <c r="P17" s="170">
        <v>6.699161290322581</v>
      </c>
      <c r="Q17" s="170">
        <v>4.15348</v>
      </c>
      <c r="R17" s="170">
        <v>2</v>
      </c>
      <c r="S17" s="170">
        <v>7.956499999999999</v>
      </c>
      <c r="T17" s="170">
        <v>4.93303</v>
      </c>
      <c r="U17" s="170">
        <v>0</v>
      </c>
      <c r="V17" s="170">
        <v>0</v>
      </c>
      <c r="W17" s="170">
        <v>0</v>
      </c>
      <c r="X17" s="170">
        <v>0</v>
      </c>
      <c r="Y17" s="170">
        <v>0</v>
      </c>
      <c r="Z17" s="170">
        <v>0</v>
      </c>
      <c r="AA17" s="170">
        <v>4</v>
      </c>
      <c r="AB17" s="170">
        <v>1161.75</v>
      </c>
      <c r="AC17" s="170">
        <v>0.37176</v>
      </c>
      <c r="AD17" s="192">
        <v>1</v>
      </c>
      <c r="AE17" s="170">
        <v>5709.375</v>
      </c>
      <c r="AF17" s="170">
        <v>1.827</v>
      </c>
      <c r="AG17" s="170">
        <v>5</v>
      </c>
      <c r="AH17" s="170">
        <v>13.598548387096773</v>
      </c>
      <c r="AI17" s="170">
        <v>4.21555</v>
      </c>
      <c r="AJ17" s="170">
        <v>5</v>
      </c>
      <c r="AK17" s="170">
        <v>4.564935483870968</v>
      </c>
      <c r="AL17" s="170">
        <v>1.41513</v>
      </c>
      <c r="AM17" s="170">
        <v>35</v>
      </c>
      <c r="AN17" s="170">
        <v>13.774382222222222</v>
      </c>
      <c r="AO17" s="170">
        <v>30.992359999999998</v>
      </c>
      <c r="AP17" s="170">
        <v>14</v>
      </c>
      <c r="AQ17" s="170">
        <v>18.738635555555554</v>
      </c>
      <c r="AR17" s="170">
        <v>42.16193</v>
      </c>
      <c r="AS17" s="170">
        <v>146</v>
      </c>
      <c r="AT17" s="170">
        <v>175.6</v>
      </c>
      <c r="AU17" s="170">
        <v>149.01572</v>
      </c>
      <c r="AV17" s="170">
        <v>104</v>
      </c>
      <c r="AW17" s="170">
        <v>132</v>
      </c>
      <c r="AX17" s="170">
        <v>129.20245</v>
      </c>
      <c r="AY17" s="170">
        <v>0</v>
      </c>
      <c r="AZ17" s="170">
        <v>0</v>
      </c>
      <c r="BA17" s="170">
        <v>0</v>
      </c>
      <c r="BB17" s="170">
        <v>0</v>
      </c>
      <c r="BC17" s="170">
        <v>0</v>
      </c>
      <c r="BD17" s="170">
        <v>0</v>
      </c>
      <c r="BE17" s="171">
        <f t="shared" si="0"/>
        <v>252</v>
      </c>
      <c r="BF17" s="172"/>
      <c r="BG17" s="173">
        <f t="shared" si="1"/>
        <v>233.52718</v>
      </c>
      <c r="BH17" s="172">
        <f t="shared" si="2"/>
        <v>144</v>
      </c>
      <c r="BI17" s="172"/>
      <c r="BJ17" s="173">
        <f>SUM(H17,N17,T17,Z17,AF17,AL17,AR17,AX17,BD17)</f>
        <v>195.81462</v>
      </c>
      <c r="BK17" s="174">
        <f t="shared" si="3"/>
        <v>429.3418</v>
      </c>
      <c r="BL17" s="175">
        <v>238.80804</v>
      </c>
      <c r="BM17" s="174">
        <f t="shared" si="4"/>
        <v>-190.53375999999997</v>
      </c>
    </row>
    <row r="18" spans="1:65" s="175" customFormat="1" ht="18">
      <c r="A18" s="168">
        <v>5</v>
      </c>
      <c r="B18" s="169" t="s">
        <v>11</v>
      </c>
      <c r="C18" s="170">
        <v>20</v>
      </c>
      <c r="D18" s="171">
        <v>31454.11</v>
      </c>
      <c r="E18" s="170">
        <v>15.52679</v>
      </c>
      <c r="F18" s="170">
        <v>16</v>
      </c>
      <c r="G18" s="170">
        <v>8851.050625</v>
      </c>
      <c r="H18" s="170">
        <v>5.57793</v>
      </c>
      <c r="I18" s="170">
        <v>7</v>
      </c>
      <c r="J18" s="170">
        <v>22.46</v>
      </c>
      <c r="K18" s="193">
        <v>4.22424</v>
      </c>
      <c r="L18" s="170">
        <v>0</v>
      </c>
      <c r="M18" s="170">
        <v>0</v>
      </c>
      <c r="N18" s="193">
        <v>0</v>
      </c>
      <c r="O18" s="171">
        <v>8</v>
      </c>
      <c r="P18" s="171">
        <v>5297.705</v>
      </c>
      <c r="Q18" s="193">
        <v>7.08169</v>
      </c>
      <c r="R18" s="171">
        <v>2</v>
      </c>
      <c r="S18" s="171">
        <v>1072.5</v>
      </c>
      <c r="T18" s="193">
        <v>0.40324</v>
      </c>
      <c r="U18" s="170">
        <v>3</v>
      </c>
      <c r="V18" s="170">
        <v>3565</v>
      </c>
      <c r="W18" s="170">
        <v>4.56762</v>
      </c>
      <c r="X18" s="170">
        <v>0</v>
      </c>
      <c r="Y18" s="170">
        <v>0</v>
      </c>
      <c r="Z18" s="170">
        <v>0</v>
      </c>
      <c r="AA18" s="170">
        <v>4</v>
      </c>
      <c r="AB18" s="170">
        <v>5155.172</v>
      </c>
      <c r="AC18" s="170">
        <v>4.24083</v>
      </c>
      <c r="AD18" s="170">
        <v>1</v>
      </c>
      <c r="AE18" s="170">
        <v>0</v>
      </c>
      <c r="AF18" s="170">
        <v>0</v>
      </c>
      <c r="AG18" s="170">
        <v>2</v>
      </c>
      <c r="AH18" s="170">
        <v>10.2015</v>
      </c>
      <c r="AI18" s="170">
        <v>7.20501</v>
      </c>
      <c r="AJ18" s="170">
        <v>0</v>
      </c>
      <c r="AK18" s="170">
        <v>0</v>
      </c>
      <c r="AL18" s="170">
        <v>0</v>
      </c>
      <c r="AM18" s="170">
        <v>87</v>
      </c>
      <c r="AN18" s="170">
        <v>87.03300000000002</v>
      </c>
      <c r="AO18" s="170">
        <v>119.00590864830001</v>
      </c>
      <c r="AP18" s="170">
        <v>14</v>
      </c>
      <c r="AQ18" s="170">
        <v>3.35</v>
      </c>
      <c r="AR18" s="170">
        <v>26.85872</v>
      </c>
      <c r="AS18" s="170">
        <v>226</v>
      </c>
      <c r="AT18" s="194">
        <v>535.977</v>
      </c>
      <c r="AU18" s="170">
        <v>284.269295</v>
      </c>
      <c r="AV18" s="170">
        <v>57</v>
      </c>
      <c r="AW18" s="194">
        <v>58.22</v>
      </c>
      <c r="AX18" s="170">
        <v>46.315</v>
      </c>
      <c r="AY18" s="170">
        <v>0</v>
      </c>
      <c r="AZ18" s="170">
        <v>0</v>
      </c>
      <c r="BA18" s="170">
        <v>0</v>
      </c>
      <c r="BB18" s="170">
        <v>0</v>
      </c>
      <c r="BC18" s="170">
        <v>0</v>
      </c>
      <c r="BD18" s="170">
        <v>0</v>
      </c>
      <c r="BE18" s="171">
        <f t="shared" si="0"/>
        <v>357</v>
      </c>
      <c r="BF18" s="172"/>
      <c r="BG18" s="173">
        <f t="shared" si="1"/>
        <v>446.1213836483</v>
      </c>
      <c r="BH18" s="172">
        <f t="shared" si="2"/>
        <v>90</v>
      </c>
      <c r="BI18" s="172"/>
      <c r="BJ18" s="173">
        <f aca="true" t="shared" si="5" ref="BJ18:BJ26">SUM(H18,N18,T18,Z18,AF18,AL18,AR18,AX18,BD18)</f>
        <v>79.15489</v>
      </c>
      <c r="BK18" s="174">
        <f t="shared" si="3"/>
        <v>525.2762736483</v>
      </c>
      <c r="BL18" s="175">
        <v>311.8899</v>
      </c>
      <c r="BM18" s="174">
        <f t="shared" si="4"/>
        <v>-213.38637364830004</v>
      </c>
    </row>
    <row r="19" spans="1:65" s="201" customFormat="1" ht="18">
      <c r="A19" s="195">
        <v>6</v>
      </c>
      <c r="B19" s="196" t="s">
        <v>1</v>
      </c>
      <c r="C19" s="192">
        <v>14</v>
      </c>
      <c r="D19" s="197">
        <v>144469</v>
      </c>
      <c r="E19" s="192">
        <v>13.47509</v>
      </c>
      <c r="F19" s="192">
        <v>20</v>
      </c>
      <c r="G19" s="192">
        <v>20021</v>
      </c>
      <c r="H19" s="192">
        <v>12.13357</v>
      </c>
      <c r="I19" s="192">
        <v>42</v>
      </c>
      <c r="J19" s="192">
        <v>34.09</v>
      </c>
      <c r="K19" s="192">
        <v>24.3376</v>
      </c>
      <c r="L19" s="192">
        <v>35</v>
      </c>
      <c r="M19" s="192">
        <v>36.38</v>
      </c>
      <c r="N19" s="192">
        <v>16.48509</v>
      </c>
      <c r="O19" s="192">
        <v>19</v>
      </c>
      <c r="P19" s="192">
        <v>532.1</v>
      </c>
      <c r="Q19" s="192">
        <v>18.80332</v>
      </c>
      <c r="R19" s="192">
        <v>13</v>
      </c>
      <c r="S19" s="192">
        <v>12.512</v>
      </c>
      <c r="T19" s="192">
        <v>7.31482</v>
      </c>
      <c r="U19" s="192">
        <v>1</v>
      </c>
      <c r="V19" s="192">
        <v>54</v>
      </c>
      <c r="W19" s="192">
        <v>2.3542</v>
      </c>
      <c r="X19" s="192">
        <v>0</v>
      </c>
      <c r="Y19" s="192">
        <v>0</v>
      </c>
      <c r="Z19" s="192">
        <v>0</v>
      </c>
      <c r="AA19" s="192">
        <v>14</v>
      </c>
      <c r="AB19" s="192">
        <v>5796</v>
      </c>
      <c r="AC19" s="192">
        <v>5.55422</v>
      </c>
      <c r="AD19" s="192">
        <v>1</v>
      </c>
      <c r="AE19" s="192">
        <v>0</v>
      </c>
      <c r="AF19" s="192">
        <v>0.66797</v>
      </c>
      <c r="AG19" s="192">
        <v>23</v>
      </c>
      <c r="AH19" s="192">
        <v>13.1</v>
      </c>
      <c r="AI19" s="192">
        <v>20.31009</v>
      </c>
      <c r="AJ19" s="192">
        <v>18</v>
      </c>
      <c r="AK19" s="192">
        <v>31.63</v>
      </c>
      <c r="AL19" s="192">
        <v>55.77924</v>
      </c>
      <c r="AM19" s="192">
        <v>34</v>
      </c>
      <c r="AN19" s="192">
        <v>181.9</v>
      </c>
      <c r="AO19" s="192">
        <v>31.42131</v>
      </c>
      <c r="AP19" s="192">
        <v>19</v>
      </c>
      <c r="AQ19" s="192">
        <v>7.258</v>
      </c>
      <c r="AR19" s="192">
        <v>31.51742</v>
      </c>
      <c r="AS19" s="192">
        <v>122</v>
      </c>
      <c r="AT19" s="192">
        <v>134.7</v>
      </c>
      <c r="AU19" s="192">
        <v>140.94556</v>
      </c>
      <c r="AV19" s="192">
        <v>73</v>
      </c>
      <c r="AW19" s="192">
        <v>60.23</v>
      </c>
      <c r="AX19" s="192">
        <v>68.52087</v>
      </c>
      <c r="AY19" s="198">
        <v>0</v>
      </c>
      <c r="AZ19" s="198">
        <v>0</v>
      </c>
      <c r="BA19" s="198">
        <v>0</v>
      </c>
      <c r="BB19" s="198">
        <v>0</v>
      </c>
      <c r="BC19" s="198">
        <v>0</v>
      </c>
      <c r="BD19" s="198">
        <v>0</v>
      </c>
      <c r="BE19" s="171">
        <f t="shared" si="0"/>
        <v>269</v>
      </c>
      <c r="BF19" s="199"/>
      <c r="BG19" s="200">
        <f t="shared" si="1"/>
        <v>257.20139</v>
      </c>
      <c r="BH19" s="172">
        <f t="shared" si="2"/>
        <v>179</v>
      </c>
      <c r="BI19" s="199"/>
      <c r="BJ19" s="200">
        <f t="shared" si="5"/>
        <v>192.41897999999998</v>
      </c>
      <c r="BK19" s="174">
        <f t="shared" si="3"/>
        <v>449.62037</v>
      </c>
      <c r="BL19" s="201">
        <v>192.945501</v>
      </c>
      <c r="BM19" s="174">
        <f t="shared" si="4"/>
        <v>-256.67486899999994</v>
      </c>
    </row>
    <row r="20" spans="1:65" s="175" customFormat="1" ht="18">
      <c r="A20" s="168">
        <v>7</v>
      </c>
      <c r="B20" s="169" t="s">
        <v>10</v>
      </c>
      <c r="C20" s="170">
        <v>20</v>
      </c>
      <c r="D20" s="171">
        <v>34372</v>
      </c>
      <c r="E20" s="170">
        <v>21.42241</v>
      </c>
      <c r="F20" s="170">
        <v>14</v>
      </c>
      <c r="G20" s="170">
        <v>12631</v>
      </c>
      <c r="H20" s="170">
        <v>10.70281</v>
      </c>
      <c r="I20" s="170">
        <v>16</v>
      </c>
      <c r="J20" s="170">
        <v>50.3</v>
      </c>
      <c r="K20" s="170">
        <v>8.70291</v>
      </c>
      <c r="L20" s="170">
        <v>18</v>
      </c>
      <c r="M20" s="170">
        <v>60.5</v>
      </c>
      <c r="N20" s="170">
        <v>13.08399</v>
      </c>
      <c r="O20" s="170">
        <v>6</v>
      </c>
      <c r="P20" s="170">
        <v>12.6</v>
      </c>
      <c r="Q20" s="170">
        <v>8.88394</v>
      </c>
      <c r="R20" s="170">
        <v>2</v>
      </c>
      <c r="S20" s="170">
        <v>0.9</v>
      </c>
      <c r="T20" s="170">
        <v>0.9299</v>
      </c>
      <c r="U20" s="170">
        <v>17</v>
      </c>
      <c r="V20" s="170">
        <v>60</v>
      </c>
      <c r="W20" s="170">
        <v>11.16618</v>
      </c>
      <c r="X20" s="170">
        <v>5</v>
      </c>
      <c r="Y20" s="170">
        <v>13.5</v>
      </c>
      <c r="Z20" s="170">
        <v>7.20113</v>
      </c>
      <c r="AA20" s="170">
        <v>4</v>
      </c>
      <c r="AB20" s="170">
        <v>26006</v>
      </c>
      <c r="AC20" s="170">
        <v>10.31142</v>
      </c>
      <c r="AD20" s="170">
        <v>4</v>
      </c>
      <c r="AE20" s="170">
        <v>2900</v>
      </c>
      <c r="AF20" s="170">
        <v>1.96995</v>
      </c>
      <c r="AG20" s="170">
        <v>26</v>
      </c>
      <c r="AH20" s="170">
        <v>81.3</v>
      </c>
      <c r="AI20" s="170">
        <v>33.25353</v>
      </c>
      <c r="AJ20" s="170">
        <v>4</v>
      </c>
      <c r="AK20" s="170">
        <v>2</v>
      </c>
      <c r="AL20" s="170">
        <v>1.99875</v>
      </c>
      <c r="AM20" s="170">
        <v>103</v>
      </c>
      <c r="AN20" s="170">
        <v>76.5</v>
      </c>
      <c r="AO20" s="170">
        <v>187.06288</v>
      </c>
      <c r="AP20" s="170">
        <v>42</v>
      </c>
      <c r="AQ20" s="170">
        <v>13</v>
      </c>
      <c r="AR20" s="170">
        <v>34.06132</v>
      </c>
      <c r="AS20" s="170">
        <v>144</v>
      </c>
      <c r="AT20" s="170">
        <v>181</v>
      </c>
      <c r="AU20" s="170">
        <v>159.88445</v>
      </c>
      <c r="AV20" s="170">
        <v>100</v>
      </c>
      <c r="AW20" s="170">
        <v>58</v>
      </c>
      <c r="AX20" s="170">
        <v>50.15211</v>
      </c>
      <c r="AY20" s="170">
        <v>0</v>
      </c>
      <c r="AZ20" s="170">
        <v>0</v>
      </c>
      <c r="BA20" s="170">
        <v>0</v>
      </c>
      <c r="BB20" s="170">
        <v>0</v>
      </c>
      <c r="BC20" s="170">
        <v>0</v>
      </c>
      <c r="BD20" s="170">
        <v>0</v>
      </c>
      <c r="BE20" s="171">
        <f t="shared" si="0"/>
        <v>336</v>
      </c>
      <c r="BF20" s="172"/>
      <c r="BG20" s="173">
        <f t="shared" si="1"/>
        <v>440.68772</v>
      </c>
      <c r="BH20" s="172">
        <f t="shared" si="2"/>
        <v>189</v>
      </c>
      <c r="BI20" s="172"/>
      <c r="BJ20" s="173">
        <f t="shared" si="5"/>
        <v>120.09996000000001</v>
      </c>
      <c r="BK20" s="174">
        <f t="shared" si="3"/>
        <v>560.78768</v>
      </c>
      <c r="BL20" s="175">
        <v>354.0862</v>
      </c>
      <c r="BM20" s="174">
        <f t="shared" si="4"/>
        <v>-206.70148</v>
      </c>
    </row>
    <row r="21" spans="1:65" s="175" customFormat="1" ht="18">
      <c r="A21" s="168">
        <v>8</v>
      </c>
      <c r="B21" s="169" t="s">
        <v>6</v>
      </c>
      <c r="C21" s="170">
        <v>9</v>
      </c>
      <c r="D21" s="171">
        <v>27880</v>
      </c>
      <c r="E21" s="170">
        <v>8.5563</v>
      </c>
      <c r="F21" s="170">
        <v>22</v>
      </c>
      <c r="G21" s="170">
        <v>22664</v>
      </c>
      <c r="H21" s="170">
        <v>9.08762</v>
      </c>
      <c r="I21" s="170">
        <v>39</v>
      </c>
      <c r="J21" s="170">
        <v>55.87</v>
      </c>
      <c r="K21" s="170">
        <v>27.2942</v>
      </c>
      <c r="L21" s="170">
        <v>47</v>
      </c>
      <c r="M21" s="170">
        <v>36.45</v>
      </c>
      <c r="N21" s="170">
        <v>37.83123</v>
      </c>
      <c r="O21" s="170">
        <v>38</v>
      </c>
      <c r="P21" s="170">
        <v>55.85</v>
      </c>
      <c r="Q21" s="170">
        <v>34.53606</v>
      </c>
      <c r="R21" s="170">
        <v>29</v>
      </c>
      <c r="S21" s="170">
        <v>47.79</v>
      </c>
      <c r="T21" s="170">
        <v>21.89735</v>
      </c>
      <c r="U21" s="170">
        <v>29</v>
      </c>
      <c r="V21" s="170">
        <v>26.6</v>
      </c>
      <c r="W21" s="170">
        <v>36.03945</v>
      </c>
      <c r="X21" s="170">
        <v>1</v>
      </c>
      <c r="Y21" s="170">
        <v>0</v>
      </c>
      <c r="Z21" s="170">
        <v>1.8515</v>
      </c>
      <c r="AA21" s="170">
        <v>10</v>
      </c>
      <c r="AB21" s="170">
        <v>67500</v>
      </c>
      <c r="AC21" s="170">
        <v>10.9</v>
      </c>
      <c r="AD21" s="170">
        <v>24</v>
      </c>
      <c r="AE21" s="170">
        <v>44942</v>
      </c>
      <c r="AF21" s="170">
        <v>17.37935</v>
      </c>
      <c r="AG21" s="170">
        <v>17</v>
      </c>
      <c r="AH21" s="170">
        <v>67513</v>
      </c>
      <c r="AI21" s="170">
        <v>25.89519</v>
      </c>
      <c r="AJ21" s="170">
        <v>3</v>
      </c>
      <c r="AK21" s="170">
        <v>4.3</v>
      </c>
      <c r="AL21" s="170">
        <v>2.59498</v>
      </c>
      <c r="AM21" s="170">
        <v>21</v>
      </c>
      <c r="AN21" s="170">
        <v>13.33</v>
      </c>
      <c r="AO21" s="170">
        <v>39.14904</v>
      </c>
      <c r="AP21" s="170">
        <v>31</v>
      </c>
      <c r="AQ21" s="170">
        <v>21.6</v>
      </c>
      <c r="AR21" s="170">
        <v>55.4092</v>
      </c>
      <c r="AS21" s="170">
        <v>60</v>
      </c>
      <c r="AT21" s="170">
        <v>46.855</v>
      </c>
      <c r="AU21" s="170">
        <v>61.90144</v>
      </c>
      <c r="AV21" s="170">
        <v>96</v>
      </c>
      <c r="AW21" s="170">
        <v>80</v>
      </c>
      <c r="AX21" s="170">
        <v>69.89543</v>
      </c>
      <c r="AY21" s="170">
        <v>0</v>
      </c>
      <c r="AZ21" s="170">
        <v>0</v>
      </c>
      <c r="BA21" s="170">
        <v>0</v>
      </c>
      <c r="BB21" s="170">
        <v>0</v>
      </c>
      <c r="BC21" s="170">
        <v>0</v>
      </c>
      <c r="BD21" s="170">
        <v>0</v>
      </c>
      <c r="BE21" s="171">
        <f t="shared" si="0"/>
        <v>223</v>
      </c>
      <c r="BF21" s="172"/>
      <c r="BG21" s="173">
        <f t="shared" si="1"/>
        <v>244.27168000000003</v>
      </c>
      <c r="BH21" s="172">
        <f t="shared" si="2"/>
        <v>253</v>
      </c>
      <c r="BI21" s="172"/>
      <c r="BJ21" s="173">
        <f t="shared" si="5"/>
        <v>215.94666</v>
      </c>
      <c r="BK21" s="174">
        <f t="shared" si="3"/>
        <v>460.21834</v>
      </c>
      <c r="BL21" s="175">
        <v>153.70922000000002</v>
      </c>
      <c r="BM21" s="174">
        <f t="shared" si="4"/>
        <v>-306.50912</v>
      </c>
    </row>
    <row r="22" spans="1:65" s="175" customFormat="1" ht="18">
      <c r="A22" s="168">
        <v>9</v>
      </c>
      <c r="B22" s="169" t="s">
        <v>7</v>
      </c>
      <c r="C22" s="170">
        <v>3</v>
      </c>
      <c r="D22" s="171">
        <v>6032.48</v>
      </c>
      <c r="E22" s="170">
        <v>2.4936</v>
      </c>
      <c r="F22" s="170">
        <v>8</v>
      </c>
      <c r="G22" s="170">
        <v>20899.87</v>
      </c>
      <c r="H22" s="170">
        <v>9.01025</v>
      </c>
      <c r="I22" s="170">
        <v>2</v>
      </c>
      <c r="J22" s="170">
        <v>18.03</v>
      </c>
      <c r="K22" s="170">
        <v>5.01747</v>
      </c>
      <c r="L22" s="170">
        <v>3</v>
      </c>
      <c r="M22" s="170">
        <v>33.3</v>
      </c>
      <c r="N22" s="170">
        <v>10.10941</v>
      </c>
      <c r="O22" s="170">
        <v>60</v>
      </c>
      <c r="P22" s="170">
        <v>63.91</v>
      </c>
      <c r="Q22" s="170">
        <v>50.22317</v>
      </c>
      <c r="R22" s="170">
        <v>48</v>
      </c>
      <c r="S22" s="170">
        <v>108.26</v>
      </c>
      <c r="T22" s="170">
        <v>79.1938</v>
      </c>
      <c r="U22" s="170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16</v>
      </c>
      <c r="AB22" s="170">
        <v>20771.485714285714</v>
      </c>
      <c r="AC22" s="170">
        <v>7.27002</v>
      </c>
      <c r="AD22" s="170">
        <v>2</v>
      </c>
      <c r="AE22" s="170">
        <v>12607.714285714286</v>
      </c>
      <c r="AF22" s="170">
        <v>4.4127</v>
      </c>
      <c r="AG22" s="170">
        <v>4</v>
      </c>
      <c r="AH22" s="170">
        <v>8.39</v>
      </c>
      <c r="AI22" s="170">
        <v>5.10426</v>
      </c>
      <c r="AJ22" s="170">
        <v>5</v>
      </c>
      <c r="AK22" s="170">
        <v>8.01</v>
      </c>
      <c r="AL22" s="170">
        <v>6.6342</v>
      </c>
      <c r="AM22" s="170">
        <v>16</v>
      </c>
      <c r="AN22" s="170">
        <v>20.87</v>
      </c>
      <c r="AO22" s="170">
        <v>21.49176</v>
      </c>
      <c r="AP22" s="170">
        <v>18</v>
      </c>
      <c r="AQ22" s="170">
        <v>25.2</v>
      </c>
      <c r="AR22" s="170">
        <v>35.02736</v>
      </c>
      <c r="AS22" s="170">
        <v>50</v>
      </c>
      <c r="AT22" s="170">
        <v>43.67</v>
      </c>
      <c r="AU22" s="170">
        <v>49.29708</v>
      </c>
      <c r="AV22" s="170">
        <v>43</v>
      </c>
      <c r="AW22" s="170">
        <v>42.21</v>
      </c>
      <c r="AX22" s="170">
        <v>40.56759</v>
      </c>
      <c r="AY22" s="170">
        <v>0</v>
      </c>
      <c r="AZ22" s="170">
        <v>0</v>
      </c>
      <c r="BA22" s="170">
        <v>0</v>
      </c>
      <c r="BB22" s="170">
        <v>0</v>
      </c>
      <c r="BC22" s="170">
        <v>0</v>
      </c>
      <c r="BD22" s="170">
        <v>0</v>
      </c>
      <c r="BE22" s="172">
        <f t="shared" si="0"/>
        <v>151</v>
      </c>
      <c r="BF22" s="172"/>
      <c r="BG22" s="173">
        <f t="shared" si="1"/>
        <v>140.89736</v>
      </c>
      <c r="BH22" s="172">
        <f t="shared" si="2"/>
        <v>127</v>
      </c>
      <c r="BI22" s="172"/>
      <c r="BJ22" s="173">
        <f t="shared" si="5"/>
        <v>184.95531</v>
      </c>
      <c r="BK22" s="174">
        <f t="shared" si="3"/>
        <v>325.85267</v>
      </c>
      <c r="BL22" s="175">
        <v>182.07533</v>
      </c>
      <c r="BM22" s="174">
        <f t="shared" si="4"/>
        <v>-143.77733999999998</v>
      </c>
    </row>
    <row r="23" spans="1:65" s="175" customFormat="1" ht="18">
      <c r="A23" s="168">
        <v>10</v>
      </c>
      <c r="B23" s="169" t="s">
        <v>0</v>
      </c>
      <c r="C23" s="170">
        <v>14</v>
      </c>
      <c r="D23" s="171">
        <v>25245</v>
      </c>
      <c r="E23" s="170">
        <v>11.60463</v>
      </c>
      <c r="F23" s="170">
        <v>12</v>
      </c>
      <c r="G23" s="170">
        <v>51157.2</v>
      </c>
      <c r="H23" s="170">
        <v>18.49518</v>
      </c>
      <c r="I23" s="170">
        <v>60</v>
      </c>
      <c r="J23" s="170">
        <v>39.55</v>
      </c>
      <c r="K23" s="170">
        <v>44.66149000000001</v>
      </c>
      <c r="L23" s="170">
        <v>128</v>
      </c>
      <c r="M23" s="170">
        <v>72.1</v>
      </c>
      <c r="N23" s="170">
        <v>77.87198000000001</v>
      </c>
      <c r="O23" s="170">
        <v>5</v>
      </c>
      <c r="P23" s="170">
        <v>5</v>
      </c>
      <c r="Q23" s="170">
        <v>2.6504</v>
      </c>
      <c r="R23" s="170">
        <v>0</v>
      </c>
      <c r="S23" s="170">
        <v>0</v>
      </c>
      <c r="T23" s="170">
        <v>0</v>
      </c>
      <c r="U23" s="170">
        <v>0</v>
      </c>
      <c r="V23" s="170">
        <v>0</v>
      </c>
      <c r="W23" s="170">
        <v>0</v>
      </c>
      <c r="X23" s="170">
        <v>4</v>
      </c>
      <c r="Y23" s="170">
        <v>300</v>
      </c>
      <c r="Z23" s="170">
        <v>6.93372</v>
      </c>
      <c r="AA23" s="170">
        <v>11</v>
      </c>
      <c r="AB23" s="170">
        <v>38500</v>
      </c>
      <c r="AC23" s="170">
        <v>9.7792</v>
      </c>
      <c r="AD23" s="170">
        <v>23</v>
      </c>
      <c r="AE23" s="170">
        <v>62771</v>
      </c>
      <c r="AF23" s="170">
        <v>14.31685</v>
      </c>
      <c r="AG23" s="170">
        <v>7</v>
      </c>
      <c r="AH23" s="170">
        <v>9.5</v>
      </c>
      <c r="AI23" s="170">
        <v>4.50844</v>
      </c>
      <c r="AJ23" s="170">
        <v>3</v>
      </c>
      <c r="AK23" s="170">
        <v>3</v>
      </c>
      <c r="AL23" s="170">
        <v>1.23061</v>
      </c>
      <c r="AM23" s="170">
        <v>23</v>
      </c>
      <c r="AN23" s="170">
        <v>27.44</v>
      </c>
      <c r="AO23" s="170">
        <v>27.64935</v>
      </c>
      <c r="AP23" s="170">
        <v>16</v>
      </c>
      <c r="AQ23" s="170">
        <v>19.9</v>
      </c>
      <c r="AR23" s="170">
        <v>11.45415</v>
      </c>
      <c r="AS23" s="170">
        <v>157</v>
      </c>
      <c r="AT23" s="170">
        <v>222.58</v>
      </c>
      <c r="AU23" s="170">
        <v>226.09244999999999</v>
      </c>
      <c r="AV23" s="170">
        <v>106</v>
      </c>
      <c r="AW23" s="170">
        <v>146.95</v>
      </c>
      <c r="AX23" s="170">
        <v>199.4526</v>
      </c>
      <c r="AY23" s="170">
        <v>0</v>
      </c>
      <c r="AZ23" s="170">
        <v>0</v>
      </c>
      <c r="BA23" s="170">
        <v>0</v>
      </c>
      <c r="BB23" s="170"/>
      <c r="BC23" s="170">
        <v>0</v>
      </c>
      <c r="BD23" s="170">
        <v>0</v>
      </c>
      <c r="BE23" s="171">
        <f t="shared" si="0"/>
        <v>277</v>
      </c>
      <c r="BF23" s="172"/>
      <c r="BG23" s="173">
        <f t="shared" si="1"/>
        <v>326.94596</v>
      </c>
      <c r="BH23" s="172">
        <f t="shared" si="2"/>
        <v>292</v>
      </c>
      <c r="BI23" s="172"/>
      <c r="BJ23" s="173">
        <f t="shared" si="5"/>
        <v>329.75509</v>
      </c>
      <c r="BK23" s="174">
        <f t="shared" si="3"/>
        <v>656.70105</v>
      </c>
      <c r="BL23" s="175">
        <v>337.02819999999997</v>
      </c>
      <c r="BM23" s="174">
        <f t="shared" si="4"/>
        <v>-319.67285000000004</v>
      </c>
    </row>
    <row r="24" spans="1:65" s="175" customFormat="1" ht="18">
      <c r="A24" s="168">
        <v>11</v>
      </c>
      <c r="B24" s="169" t="s">
        <v>8</v>
      </c>
      <c r="C24" s="170">
        <v>3</v>
      </c>
      <c r="D24" s="171">
        <v>7423</v>
      </c>
      <c r="E24" s="170">
        <v>3.37588</v>
      </c>
      <c r="F24" s="170">
        <v>0</v>
      </c>
      <c r="G24" s="170">
        <v>0</v>
      </c>
      <c r="H24" s="170">
        <v>0</v>
      </c>
      <c r="I24" s="170">
        <v>8</v>
      </c>
      <c r="J24" s="170">
        <v>244.675</v>
      </c>
      <c r="K24" s="170">
        <v>13.35605</v>
      </c>
      <c r="L24" s="170">
        <v>0</v>
      </c>
      <c r="M24" s="170">
        <v>0</v>
      </c>
      <c r="N24" s="170">
        <v>0</v>
      </c>
      <c r="O24" s="170">
        <v>112</v>
      </c>
      <c r="P24" s="170">
        <v>143.5</v>
      </c>
      <c r="Q24" s="170">
        <v>88.37187</v>
      </c>
      <c r="R24" s="170">
        <v>8</v>
      </c>
      <c r="S24" s="170">
        <v>5</v>
      </c>
      <c r="T24" s="170">
        <v>4.57983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0">
        <v>0</v>
      </c>
      <c r="AA24" s="170">
        <v>0</v>
      </c>
      <c r="AB24" s="170">
        <v>0</v>
      </c>
      <c r="AC24" s="170">
        <v>0</v>
      </c>
      <c r="AD24" s="170">
        <v>0</v>
      </c>
      <c r="AE24" s="170">
        <v>0</v>
      </c>
      <c r="AF24" s="170">
        <v>0</v>
      </c>
      <c r="AG24" s="170">
        <v>2</v>
      </c>
      <c r="AH24" s="170">
        <v>2800</v>
      </c>
      <c r="AI24" s="170">
        <v>1.25</v>
      </c>
      <c r="AJ24" s="170">
        <v>0</v>
      </c>
      <c r="AK24" s="170">
        <v>0</v>
      </c>
      <c r="AL24" s="170">
        <v>0</v>
      </c>
      <c r="AM24" s="170">
        <v>43</v>
      </c>
      <c r="AN24" s="170">
        <v>6.65</v>
      </c>
      <c r="AO24" s="170">
        <v>63.49297</v>
      </c>
      <c r="AP24" s="170">
        <v>3</v>
      </c>
      <c r="AQ24" s="170">
        <v>4</v>
      </c>
      <c r="AR24" s="170">
        <v>2.02</v>
      </c>
      <c r="AS24" s="170">
        <v>84</v>
      </c>
      <c r="AT24" s="170">
        <v>119</v>
      </c>
      <c r="AU24" s="170">
        <v>111.50641</v>
      </c>
      <c r="AV24" s="170">
        <v>23</v>
      </c>
      <c r="AW24" s="170">
        <v>15</v>
      </c>
      <c r="AX24" s="170">
        <v>14.92309</v>
      </c>
      <c r="AY24" s="170">
        <v>0</v>
      </c>
      <c r="AZ24" s="170">
        <v>0</v>
      </c>
      <c r="BA24" s="170">
        <v>0</v>
      </c>
      <c r="BB24" s="170">
        <v>0</v>
      </c>
      <c r="BC24" s="170">
        <v>0</v>
      </c>
      <c r="BD24" s="170">
        <v>0</v>
      </c>
      <c r="BE24" s="171">
        <f t="shared" si="0"/>
        <v>252</v>
      </c>
      <c r="BF24" s="172"/>
      <c r="BG24" s="173">
        <f t="shared" si="1"/>
        <v>281.35318</v>
      </c>
      <c r="BH24" s="172">
        <f t="shared" si="2"/>
        <v>34</v>
      </c>
      <c r="BI24" s="172"/>
      <c r="BJ24" s="173">
        <f t="shared" si="5"/>
        <v>21.52292</v>
      </c>
      <c r="BK24" s="174">
        <f t="shared" si="3"/>
        <v>302.8761</v>
      </c>
      <c r="BL24" s="175">
        <v>192.6378</v>
      </c>
      <c r="BM24" s="174">
        <f t="shared" si="4"/>
        <v>-110.23830000000001</v>
      </c>
    </row>
    <row r="25" spans="1:65" s="175" customFormat="1" ht="18">
      <c r="A25" s="168">
        <v>12</v>
      </c>
      <c r="B25" s="169" t="s">
        <v>4</v>
      </c>
      <c r="C25" s="170">
        <f>30+2</f>
        <v>32</v>
      </c>
      <c r="D25" s="171">
        <f>41016.39+5670</f>
        <v>46686.39</v>
      </c>
      <c r="E25" s="170">
        <f>20.51603+4.75</f>
        <v>25.26603</v>
      </c>
      <c r="F25" s="170">
        <v>16</v>
      </c>
      <c r="G25" s="170">
        <v>70237.5</v>
      </c>
      <c r="H25" s="170">
        <v>17.20606</v>
      </c>
      <c r="I25" s="203">
        <f>52+12</f>
        <v>64</v>
      </c>
      <c r="J25" s="204">
        <f>86.83+109.365</f>
        <v>196.195</v>
      </c>
      <c r="K25" s="203">
        <f>38.56036+6.49543</f>
        <v>45.05579</v>
      </c>
      <c r="L25" s="203">
        <v>31</v>
      </c>
      <c r="M25" s="203">
        <v>34.71</v>
      </c>
      <c r="N25" s="203">
        <v>17.31173</v>
      </c>
      <c r="O25" s="170">
        <v>0</v>
      </c>
      <c r="P25" s="170">
        <v>0</v>
      </c>
      <c r="Q25" s="170">
        <v>0</v>
      </c>
      <c r="R25" s="170">
        <v>0</v>
      </c>
      <c r="S25" s="170">
        <v>0</v>
      </c>
      <c r="T25" s="170">
        <v>0</v>
      </c>
      <c r="U25" s="170">
        <v>0</v>
      </c>
      <c r="V25" s="170">
        <v>0</v>
      </c>
      <c r="W25" s="170">
        <v>0</v>
      </c>
      <c r="X25" s="170">
        <v>1</v>
      </c>
      <c r="Y25" s="170">
        <v>138</v>
      </c>
      <c r="Z25" s="170">
        <v>12.32325</v>
      </c>
      <c r="AA25" s="170">
        <v>0</v>
      </c>
      <c r="AB25" s="170">
        <v>0</v>
      </c>
      <c r="AC25" s="170">
        <v>0</v>
      </c>
      <c r="AD25" s="170">
        <v>1</v>
      </c>
      <c r="AE25" s="170">
        <v>1980</v>
      </c>
      <c r="AF25" s="170">
        <v>1.20642</v>
      </c>
      <c r="AG25" s="170">
        <v>17</v>
      </c>
      <c r="AH25" s="170">
        <v>20.284</v>
      </c>
      <c r="AI25" s="170">
        <v>17.8141</v>
      </c>
      <c r="AJ25" s="170">
        <v>4</v>
      </c>
      <c r="AK25" s="170">
        <v>5.942</v>
      </c>
      <c r="AL25" s="170">
        <v>2.71819</v>
      </c>
      <c r="AM25" s="170">
        <v>5</v>
      </c>
      <c r="AN25" s="170">
        <v>23</v>
      </c>
      <c r="AO25" s="170">
        <f>1.21704+15.97954</f>
        <v>17.19658</v>
      </c>
      <c r="AP25" s="170">
        <v>3</v>
      </c>
      <c r="AQ25" s="170">
        <v>7.2</v>
      </c>
      <c r="AR25" s="170">
        <v>3.25313</v>
      </c>
      <c r="AS25" s="170">
        <v>125</v>
      </c>
      <c r="AT25" s="170">
        <v>175.634</v>
      </c>
      <c r="AU25" s="170">
        <v>168.8614</v>
      </c>
      <c r="AV25" s="170">
        <v>66</v>
      </c>
      <c r="AW25" s="170">
        <v>117.05</v>
      </c>
      <c r="AX25" s="170">
        <v>88.85796</v>
      </c>
      <c r="AY25" s="170">
        <v>0</v>
      </c>
      <c r="AZ25" s="170">
        <v>0</v>
      </c>
      <c r="BA25" s="170">
        <v>0</v>
      </c>
      <c r="BB25" s="170">
        <v>0</v>
      </c>
      <c r="BC25" s="170">
        <v>0</v>
      </c>
      <c r="BD25" s="170">
        <v>0</v>
      </c>
      <c r="BE25" s="171">
        <f>SUM(C25,I25,O25,U25,AA25,AG25,AM25,AS25,AY25)</f>
        <v>243</v>
      </c>
      <c r="BF25" s="172"/>
      <c r="BG25" s="173">
        <f t="shared" si="1"/>
        <v>274.1939</v>
      </c>
      <c r="BH25" s="172">
        <f t="shared" si="2"/>
        <v>122</v>
      </c>
      <c r="BI25" s="172"/>
      <c r="BJ25" s="173">
        <f t="shared" si="5"/>
        <v>142.87674</v>
      </c>
      <c r="BK25" s="174">
        <f t="shared" si="3"/>
        <v>417.07064</v>
      </c>
      <c r="BL25" s="175">
        <v>191.03972000000002</v>
      </c>
      <c r="BM25" s="174">
        <f t="shared" si="4"/>
        <v>-226.03092</v>
      </c>
    </row>
    <row r="26" spans="1:65" s="175" customFormat="1" ht="18">
      <c r="A26" s="168">
        <v>13</v>
      </c>
      <c r="B26" s="169" t="s">
        <v>3</v>
      </c>
      <c r="C26" s="170">
        <v>12</v>
      </c>
      <c r="D26" s="171">
        <v>19983.9</v>
      </c>
      <c r="E26" s="170">
        <v>10.02432</v>
      </c>
      <c r="F26" s="170">
        <v>18</v>
      </c>
      <c r="G26" s="170">
        <v>29553</v>
      </c>
      <c r="H26" s="170">
        <v>7.76878</v>
      </c>
      <c r="I26" s="170">
        <v>46</v>
      </c>
      <c r="J26" s="170">
        <v>40.26</v>
      </c>
      <c r="K26" s="170">
        <v>26.91114</v>
      </c>
      <c r="L26" s="170">
        <v>12</v>
      </c>
      <c r="M26" s="170">
        <v>13.5</v>
      </c>
      <c r="N26" s="170">
        <v>14.59048</v>
      </c>
      <c r="O26" s="170">
        <v>3</v>
      </c>
      <c r="P26" s="170">
        <v>4.75</v>
      </c>
      <c r="Q26" s="170">
        <v>4.10759</v>
      </c>
      <c r="R26" s="170">
        <v>7</v>
      </c>
      <c r="S26" s="170">
        <v>7.8</v>
      </c>
      <c r="T26" s="170">
        <v>14.36034</v>
      </c>
      <c r="U26" s="170">
        <v>31</v>
      </c>
      <c r="V26" s="170">
        <v>3287.09</v>
      </c>
      <c r="W26" s="170">
        <v>18.19522</v>
      </c>
      <c r="X26" s="170">
        <v>1</v>
      </c>
      <c r="Y26" s="170">
        <v>2.5</v>
      </c>
      <c r="Z26" s="170">
        <v>1.89285</v>
      </c>
      <c r="AA26" s="170">
        <v>56</v>
      </c>
      <c r="AB26" s="170">
        <v>29639</v>
      </c>
      <c r="AC26" s="170">
        <v>8.59696</v>
      </c>
      <c r="AD26" s="170">
        <v>7</v>
      </c>
      <c r="AE26" s="170">
        <v>14720</v>
      </c>
      <c r="AF26" s="170">
        <v>5.58284</v>
      </c>
      <c r="AG26" s="170">
        <v>43</v>
      </c>
      <c r="AH26" s="170">
        <v>68.07400000000001</v>
      </c>
      <c r="AI26" s="170">
        <v>57.70458</v>
      </c>
      <c r="AJ26" s="170">
        <v>14</v>
      </c>
      <c r="AK26" s="170">
        <v>65.87</v>
      </c>
      <c r="AL26" s="170">
        <v>47.49087</v>
      </c>
      <c r="AM26" s="170">
        <v>21</v>
      </c>
      <c r="AN26" s="170">
        <v>36.39</v>
      </c>
      <c r="AO26" s="170">
        <v>32.72622</v>
      </c>
      <c r="AP26" s="170">
        <v>9</v>
      </c>
      <c r="AQ26" s="170">
        <v>12.7</v>
      </c>
      <c r="AR26" s="170">
        <v>7.09217</v>
      </c>
      <c r="AS26" s="170">
        <v>119</v>
      </c>
      <c r="AT26" s="170">
        <v>133.98</v>
      </c>
      <c r="AU26" s="170">
        <v>128.48946</v>
      </c>
      <c r="AV26" s="170">
        <v>77</v>
      </c>
      <c r="AW26" s="170">
        <v>63.88</v>
      </c>
      <c r="AX26" s="170">
        <v>84.40373</v>
      </c>
      <c r="AY26" s="170">
        <v>0</v>
      </c>
      <c r="AZ26" s="170">
        <v>0</v>
      </c>
      <c r="BA26" s="170">
        <v>0</v>
      </c>
      <c r="BB26" s="170">
        <v>0</v>
      </c>
      <c r="BC26" s="170">
        <v>0</v>
      </c>
      <c r="BD26" s="170">
        <v>0</v>
      </c>
      <c r="BE26" s="171">
        <f t="shared" si="0"/>
        <v>331</v>
      </c>
      <c r="BF26" s="172"/>
      <c r="BG26" s="173">
        <f t="shared" si="1"/>
        <v>286.75549</v>
      </c>
      <c r="BH26" s="172">
        <f t="shared" si="2"/>
        <v>145</v>
      </c>
      <c r="BI26" s="172"/>
      <c r="BJ26" s="173">
        <f t="shared" si="5"/>
        <v>183.18205999999998</v>
      </c>
      <c r="BK26" s="174">
        <f t="shared" si="3"/>
        <v>469.93755</v>
      </c>
      <c r="BL26" s="175">
        <v>281.16962</v>
      </c>
      <c r="BM26" s="174">
        <f t="shared" si="4"/>
        <v>-188.76792999999998</v>
      </c>
    </row>
    <row r="27" spans="1:62" s="117" customFormat="1" ht="16.5">
      <c r="A27" s="123"/>
      <c r="B27" s="124" t="s">
        <v>14</v>
      </c>
      <c r="C27" s="125">
        <f>SUM(C14:C26)</f>
        <v>262</v>
      </c>
      <c r="D27" s="125">
        <f aca="true" t="shared" si="6" ref="D27:BJ27">SUM(D14:D26)</f>
        <v>633365.5212849004</v>
      </c>
      <c r="E27" s="125">
        <f t="shared" si="6"/>
        <v>215.09090999999995</v>
      </c>
      <c r="F27" s="125">
        <f t="shared" si="6"/>
        <v>193</v>
      </c>
      <c r="G27" s="125">
        <f t="shared" si="6"/>
        <v>518213.3547723341</v>
      </c>
      <c r="H27" s="125">
        <f>SUM(H14:H26)</f>
        <v>154.25552</v>
      </c>
      <c r="I27" s="125">
        <f t="shared" si="6"/>
        <v>495</v>
      </c>
      <c r="J27" s="125">
        <f t="shared" si="6"/>
        <v>114169.19127603991</v>
      </c>
      <c r="K27" s="125">
        <f t="shared" si="6"/>
        <v>293.46361499999995</v>
      </c>
      <c r="L27" s="125">
        <f t="shared" si="6"/>
        <v>412</v>
      </c>
      <c r="M27" s="125">
        <f t="shared" si="6"/>
        <v>30599.190764705883</v>
      </c>
      <c r="N27" s="125">
        <f t="shared" si="6"/>
        <v>245.00222000000002</v>
      </c>
      <c r="O27" s="125">
        <f t="shared" si="6"/>
        <v>306</v>
      </c>
      <c r="P27" s="125">
        <f t="shared" si="6"/>
        <v>6186.463725806452</v>
      </c>
      <c r="Q27" s="125">
        <f t="shared" si="6"/>
        <v>257.52668</v>
      </c>
      <c r="R27" s="125">
        <f t="shared" si="6"/>
        <v>122</v>
      </c>
      <c r="S27" s="125">
        <f t="shared" si="6"/>
        <v>3369.292407692308</v>
      </c>
      <c r="T27" s="125">
        <f t="shared" si="6"/>
        <v>138.93323</v>
      </c>
      <c r="U27" s="125">
        <f t="shared" si="6"/>
        <v>113</v>
      </c>
      <c r="V27" s="125">
        <f t="shared" si="6"/>
        <v>7242.048734892787</v>
      </c>
      <c r="W27" s="125">
        <f t="shared" si="6"/>
        <v>93.21067</v>
      </c>
      <c r="X27" s="125">
        <f t="shared" si="6"/>
        <v>37</v>
      </c>
      <c r="Y27" s="125">
        <f t="shared" si="6"/>
        <v>1719.992</v>
      </c>
      <c r="Z27" s="125">
        <f t="shared" si="6"/>
        <v>46.66058</v>
      </c>
      <c r="AA27" s="125">
        <f t="shared" si="6"/>
        <v>141</v>
      </c>
      <c r="AB27" s="125">
        <f t="shared" si="6"/>
        <v>256621.91692063495</v>
      </c>
      <c r="AC27" s="125">
        <f t="shared" si="6"/>
        <v>78.95486999999999</v>
      </c>
      <c r="AD27" s="125">
        <f t="shared" si="6"/>
        <v>80</v>
      </c>
      <c r="AE27" s="125">
        <f t="shared" si="6"/>
        <v>160990.5257936508</v>
      </c>
      <c r="AF27" s="125">
        <f t="shared" si="6"/>
        <v>52.346740000000004</v>
      </c>
      <c r="AG27" s="125">
        <f t="shared" si="6"/>
        <v>229</v>
      </c>
      <c r="AH27" s="125">
        <f t="shared" si="6"/>
        <v>70981.80909154186</v>
      </c>
      <c r="AI27" s="125">
        <f t="shared" si="6"/>
        <v>324.84450000000004</v>
      </c>
      <c r="AJ27" s="125">
        <f t="shared" si="6"/>
        <v>72</v>
      </c>
      <c r="AK27" s="125">
        <f t="shared" si="6"/>
        <v>1139.496872983871</v>
      </c>
      <c r="AL27" s="125">
        <f t="shared" si="6"/>
        <v>131.18642000000003</v>
      </c>
      <c r="AM27" s="125">
        <f t="shared" si="6"/>
        <v>557</v>
      </c>
      <c r="AN27" s="125">
        <f t="shared" si="6"/>
        <v>644.1281486394121</v>
      </c>
      <c r="AO27" s="125">
        <f t="shared" si="6"/>
        <v>905.6264736483001</v>
      </c>
      <c r="AP27" s="125">
        <f t="shared" si="6"/>
        <v>256</v>
      </c>
      <c r="AQ27" s="125">
        <f t="shared" si="6"/>
        <v>246.9124936461122</v>
      </c>
      <c r="AR27" s="137">
        <f t="shared" si="6"/>
        <v>490.18772000000007</v>
      </c>
      <c r="AS27" s="125">
        <f t="shared" si="6"/>
        <v>1576</v>
      </c>
      <c r="AT27" s="125">
        <f t="shared" si="6"/>
        <v>2433.8682416666666</v>
      </c>
      <c r="AU27" s="125">
        <f t="shared" si="6"/>
        <v>1894.035765</v>
      </c>
      <c r="AV27" s="125">
        <f t="shared" si="6"/>
        <v>886</v>
      </c>
      <c r="AW27" s="125">
        <f t="shared" si="6"/>
        <v>974.8035950911459</v>
      </c>
      <c r="AX27" s="125">
        <f t="shared" si="6"/>
        <v>1014.1110351000001</v>
      </c>
      <c r="AY27" s="125">
        <f t="shared" si="6"/>
        <v>0</v>
      </c>
      <c r="AZ27" s="125">
        <f t="shared" si="6"/>
        <v>0</v>
      </c>
      <c r="BA27" s="125">
        <f t="shared" si="6"/>
        <v>0</v>
      </c>
      <c r="BB27" s="125">
        <f t="shared" si="6"/>
        <v>0</v>
      </c>
      <c r="BC27" s="125">
        <f t="shared" si="6"/>
        <v>0</v>
      </c>
      <c r="BD27" s="125">
        <f t="shared" si="6"/>
        <v>0</v>
      </c>
      <c r="BE27" s="126">
        <f>SUM(BE14:BE26)</f>
        <v>3679</v>
      </c>
      <c r="BF27" s="125">
        <f t="shared" si="6"/>
        <v>0</v>
      </c>
      <c r="BG27" s="125">
        <f t="shared" si="6"/>
        <v>4062.7534836482996</v>
      </c>
      <c r="BH27" s="126">
        <f>SUM(BH14:BH26)</f>
        <v>2058</v>
      </c>
      <c r="BI27" s="125">
        <f t="shared" si="6"/>
        <v>0</v>
      </c>
      <c r="BJ27" s="125">
        <f t="shared" si="6"/>
        <v>2218.6814050999997</v>
      </c>
    </row>
    <row r="28" spans="1:60" ht="15">
      <c r="A28" s="34"/>
      <c r="B28" s="35"/>
      <c r="BE28" s="45"/>
      <c r="BH28" s="45"/>
    </row>
    <row r="29" spans="2:50" s="127" customFormat="1" ht="18">
      <c r="B29" s="12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</row>
    <row r="30" s="127" customFormat="1" ht="15">
      <c r="B30" s="128"/>
    </row>
    <row r="32" spans="57:60" ht="15">
      <c r="BE32" s="45">
        <v>1584</v>
      </c>
      <c r="BH32" s="45">
        <v>1224</v>
      </c>
    </row>
    <row r="33" spans="57:60" ht="15">
      <c r="BE33" s="45">
        <f>BE32-BE27</f>
        <v>-2095</v>
      </c>
      <c r="BH33" s="45">
        <f>BH32-BH27</f>
        <v>-834</v>
      </c>
    </row>
  </sheetData>
  <mergeCells count="91">
    <mergeCell ref="C10:H10"/>
    <mergeCell ref="A10:A12"/>
    <mergeCell ref="B10:B12"/>
    <mergeCell ref="AL12:AL13"/>
    <mergeCell ref="R12:S12"/>
    <mergeCell ref="O10:T10"/>
    <mergeCell ref="AI12:AI13"/>
    <mergeCell ref="O11:Q11"/>
    <mergeCell ref="R11:T11"/>
    <mergeCell ref="U11:W11"/>
    <mergeCell ref="BD12:BD13"/>
    <mergeCell ref="C12:D12"/>
    <mergeCell ref="C11:E11"/>
    <mergeCell ref="F11:H11"/>
    <mergeCell ref="F12:G12"/>
    <mergeCell ref="I12:J12"/>
    <mergeCell ref="I11:K11"/>
    <mergeCell ref="L11:N11"/>
    <mergeCell ref="L12:M12"/>
    <mergeCell ref="O12:P12"/>
    <mergeCell ref="A2:T2"/>
    <mergeCell ref="A4:T4"/>
    <mergeCell ref="A6:T6"/>
    <mergeCell ref="C9:H9"/>
    <mergeCell ref="U12:V12"/>
    <mergeCell ref="X12:Y12"/>
    <mergeCell ref="X11:Z11"/>
    <mergeCell ref="Z12:Z13"/>
    <mergeCell ref="U10:Z10"/>
    <mergeCell ref="I9:N9"/>
    <mergeCell ref="O9:T9"/>
    <mergeCell ref="U9:Z9"/>
    <mergeCell ref="I10:N10"/>
    <mergeCell ref="AA12:AB12"/>
    <mergeCell ref="AD12:AE12"/>
    <mergeCell ref="AC12:AC13"/>
    <mergeCell ref="AF12:AF13"/>
    <mergeCell ref="AA9:AF9"/>
    <mergeCell ref="AA10:AF10"/>
    <mergeCell ref="AG11:AI11"/>
    <mergeCell ref="AJ11:AL11"/>
    <mergeCell ref="AG9:AL9"/>
    <mergeCell ref="AA11:AC11"/>
    <mergeCell ref="AD11:AF11"/>
    <mergeCell ref="AG12:AH12"/>
    <mergeCell ref="AJ12:AK12"/>
    <mergeCell ref="AG10:AL10"/>
    <mergeCell ref="E12:E13"/>
    <mergeCell ref="H12:H13"/>
    <mergeCell ref="K12:K13"/>
    <mergeCell ref="N12:N13"/>
    <mergeCell ref="Q12:Q13"/>
    <mergeCell ref="T12:T13"/>
    <mergeCell ref="W12:W13"/>
    <mergeCell ref="AM12:AN12"/>
    <mergeCell ref="AP12:AQ12"/>
    <mergeCell ref="AO12:AO13"/>
    <mergeCell ref="AR12:AR13"/>
    <mergeCell ref="AM10:AR10"/>
    <mergeCell ref="AS10:AX10"/>
    <mergeCell ref="AS11:AU11"/>
    <mergeCell ref="AV11:AX11"/>
    <mergeCell ref="AM11:AO11"/>
    <mergeCell ref="AP11:AR11"/>
    <mergeCell ref="AS12:AT12"/>
    <mergeCell ref="AV12:AW12"/>
    <mergeCell ref="AY10:BD10"/>
    <mergeCell ref="AY11:BA11"/>
    <mergeCell ref="BB11:BD11"/>
    <mergeCell ref="AY12:AZ12"/>
    <mergeCell ref="BB12:BC12"/>
    <mergeCell ref="AU12:AU13"/>
    <mergeCell ref="AX12:AX13"/>
    <mergeCell ref="BA12:BA13"/>
    <mergeCell ref="BE10:BJ10"/>
    <mergeCell ref="BE11:BG11"/>
    <mergeCell ref="BH11:BJ11"/>
    <mergeCell ref="BE12:BF12"/>
    <mergeCell ref="BH12:BI12"/>
    <mergeCell ref="BG12:BG13"/>
    <mergeCell ref="BJ12:BJ13"/>
    <mergeCell ref="U2:AL2"/>
    <mergeCell ref="U4:AL4"/>
    <mergeCell ref="U6:AL6"/>
    <mergeCell ref="AM2:BJ2"/>
    <mergeCell ref="AM4:BJ4"/>
    <mergeCell ref="AM6:BJ6"/>
    <mergeCell ref="AS9:AX9"/>
    <mergeCell ref="AY9:BD9"/>
    <mergeCell ref="BE9:BJ9"/>
    <mergeCell ref="AM9:AR9"/>
  </mergeCells>
  <conditionalFormatting sqref="AY14:BD26">
    <cfRule type="cellIs" priority="1" dxfId="1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86" r:id="rId1"/>
  <headerFooter alignWithMargins="0">
    <oddHeader>&amp;RPart-IV</oddHeader>
  </headerFooter>
  <colBreaks count="2" manualBreakCount="2">
    <brk id="20" max="29" man="1"/>
    <brk id="3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Jalpaiguri Zilla Parishad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AEO</dc:creator>
  <cp:keywords/>
  <dc:description/>
  <cp:lastModifiedBy>NREGS-1</cp:lastModifiedBy>
  <cp:lastPrinted>2008-03-12T06:06:58Z</cp:lastPrinted>
  <dcterms:created xsi:type="dcterms:W3CDTF">2006-05-18T07:00:18Z</dcterms:created>
  <dcterms:modified xsi:type="dcterms:W3CDTF">2008-04-08T08:40:05Z</dcterms:modified>
  <cp:category/>
  <cp:version/>
  <cp:contentType/>
  <cp:contentStatus/>
</cp:coreProperties>
</file>